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tabRatio="835" activeTab="2"/>
  </bookViews>
  <sheets>
    <sheet name="Labour cost Escalation Factor" sheetId="12" r:id="rId1"/>
    <sheet name="Individual Indexing Cal." sheetId="60" r:id="rId2"/>
    <sheet name="Material List" sheetId="59" r:id="rId3"/>
    <sheet name="Unit Rate Summary Sheet" sheetId="13" r:id="rId4"/>
    <sheet name="33KV line labour" sheetId="9" r:id="rId5"/>
    <sheet name="11 KV line labour" sheetId="8" r:id="rId6"/>
    <sheet name="33-11 KV PSS labour" sheetId="11" r:id="rId7"/>
    <sheet name="DSS labour" sheetId="10" r:id="rId8"/>
    <sheet name="LT line labour" sheetId="7" r:id="rId9"/>
    <sheet name="AB Cable labour" sheetId="32" r:id="rId10"/>
    <sheet name="UG line labour" sheetId="15" r:id="rId11"/>
    <sheet name="33KV DP Suspension Labour" sheetId="44" r:id="rId12"/>
    <sheet name="PSS 2x5 MVA" sheetId="24" r:id="rId13"/>
    <sheet name="PSS 1x10 MVA" sheetId="23" r:id="rId14"/>
    <sheet name="1ph APL Service Connection" sheetId="16" r:id="rId15"/>
    <sheet name="3ph Service Connection" sheetId="43" r:id="rId16"/>
    <sheet name="33KV DP Suspension Line" sheetId="45" r:id="rId17"/>
    <sheet name="33KV_Panther_232" sheetId="20" r:id="rId18"/>
    <sheet name="33KV_Wolf_150" sheetId="21" r:id="rId19"/>
    <sheet name="33KV_Dog_100" sheetId="22" r:id="rId20"/>
    <sheet name="11KV_Dog_100sq" sheetId="17" r:id="rId21"/>
    <sheet name="11KV_Racoon_80sq" sheetId="18" r:id="rId22"/>
    <sheet name="11KV_Weasel_34sq" sheetId="19" r:id="rId23"/>
    <sheet name="DSS 25 KVA" sheetId="25" r:id="rId24"/>
    <sheet name="DSS 63 KVA" sheetId="26" r:id="rId25"/>
    <sheet name="DSS 100 KVA" sheetId="27" r:id="rId26"/>
    <sheet name="DSS 200 KVA" sheetId="28" r:id="rId27"/>
    <sheet name="DSS 315 KVA" sheetId="42" r:id="rId28"/>
    <sheet name="DSS 500 KVA" sheetId="29" r:id="rId29"/>
    <sheet name="LT_Weasel_34sq" sheetId="30" r:id="rId30"/>
    <sheet name="LT_Rabbit_55sq" sheetId="31" r:id="rId31"/>
    <sheet name="11KV 95sq mm OH AB" sheetId="38" r:id="rId32"/>
    <sheet name="11KV 50 sq mm OH AB" sheetId="39" r:id="rId33"/>
    <sheet name="LT 95sq mm OH AB" sheetId="40" r:id="rId34"/>
    <sheet name="LT 50sq mm OH AB" sheetId="41" r:id="rId35"/>
    <sheet name="33kv 400sq mm D" sheetId="55" r:id="rId36"/>
    <sheet name="33kv 300sq mm D" sheetId="51" r:id="rId37"/>
    <sheet name="33kv 185sq mm D" sheetId="52" r:id="rId38"/>
    <sheet name="11kv 400sq mm D" sheetId="56" r:id="rId39"/>
    <sheet name="11kv 300sq mm D" sheetId="53" r:id="rId40"/>
    <sheet name="11kv 185sq mm D" sheetId="54" r:id="rId41"/>
    <sheet name="33kv 400sq mm" sheetId="57" r:id="rId42"/>
    <sheet name="33kv 300sq mm" sheetId="34" r:id="rId43"/>
    <sheet name="33kv 185sq mm" sheetId="35" r:id="rId44"/>
    <sheet name="11kv 400sq mm" sheetId="58" r:id="rId45"/>
    <sheet name="11kv 300sq mm" sheetId="36" r:id="rId46"/>
    <sheet name="11kv 185sq mm" sheetId="37" r:id="rId47"/>
    <sheet name="33kv 300sq mm Trench" sheetId="47" r:id="rId48"/>
    <sheet name="33kv 185sq mm Trench" sheetId="48" r:id="rId49"/>
    <sheet name="11kv 300sq mm Trench" sheetId="49" r:id="rId50"/>
    <sheet name="11kv 185sq mm Trench" sheetId="50" r:id="rId51"/>
  </sheets>
  <definedNames>
    <definedName name="_xlnm._FilterDatabase" localSheetId="2" hidden="1">'Material List'!$A$7:$AC$530</definedName>
    <definedName name="_xlnm.Print_Area" localSheetId="5">'11 KV line labour'!$B$2:$R$73</definedName>
    <definedName name="_xlnm.Print_Area" localSheetId="46">'11kv 185sq mm'!$B$2:$H$20</definedName>
    <definedName name="_xlnm.Print_Area" localSheetId="40">'11kv 185sq mm D'!$B$2:$H$20</definedName>
    <definedName name="_xlnm.Print_Area" localSheetId="50">'11kv 185sq mm Trench'!$B$2:$H$20</definedName>
    <definedName name="_xlnm.Print_Area" localSheetId="45">'11kv 300sq mm'!$B$2:$H$20</definedName>
    <definedName name="_xlnm.Print_Area" localSheetId="39">'11kv 300sq mm D'!$B$2:$H$20</definedName>
    <definedName name="_xlnm.Print_Area" localSheetId="49">'11kv 300sq mm Trench'!$B$2:$H$20</definedName>
    <definedName name="_xlnm.Print_Area" localSheetId="44">'11kv 400sq mm'!$B$2:$H$20</definedName>
    <definedName name="_xlnm.Print_Area" localSheetId="38">'11kv 400sq mm D'!$B$2:$H$20</definedName>
    <definedName name="_xlnm.Print_Area" localSheetId="32">'11KV 50 sq mm OH AB'!$B$2:$H$27</definedName>
    <definedName name="_xlnm.Print_Area" localSheetId="31">'11KV 95sq mm OH AB'!$B$2:$H$27</definedName>
    <definedName name="_xlnm.Print_Area" localSheetId="20">'11KV_Dog_100sq'!$B$2:$H$39</definedName>
    <definedName name="_xlnm.Print_Area" localSheetId="21">'11KV_Racoon_80sq'!$B$2:$H$39</definedName>
    <definedName name="_xlnm.Print_Area" localSheetId="22">'11KV_Weasel_34sq'!$B$2:$H$37</definedName>
    <definedName name="_xlnm.Print_Area" localSheetId="14">'1ph APL Service Connection'!$B$2:$G$20</definedName>
    <definedName name="_xlnm.Print_Area" localSheetId="6">'33-11 KV PSS labour'!$B$2:$O$58</definedName>
    <definedName name="_xlnm.Print_Area" localSheetId="43">'33kv 185sq mm'!$B$2:$H$20</definedName>
    <definedName name="_xlnm.Print_Area" localSheetId="37">'33kv 185sq mm D'!$B$2:$H$20</definedName>
    <definedName name="_xlnm.Print_Area" localSheetId="48">'33kv 185sq mm Trench'!$B$2:$H$20</definedName>
    <definedName name="_xlnm.Print_Area" localSheetId="42">'33kv 300sq mm'!$B$2:$H$20</definedName>
    <definedName name="_xlnm.Print_Area" localSheetId="36">'33kv 300sq mm D'!$B$2:$H$20</definedName>
    <definedName name="_xlnm.Print_Area" localSheetId="47">'33kv 300sq mm Trench'!$B$2:$H$20</definedName>
    <definedName name="_xlnm.Print_Area" localSheetId="41">'33kv 400sq mm'!$B$2:$H$20</definedName>
    <definedName name="_xlnm.Print_Area" localSheetId="35">'33kv 400sq mm D'!$B$2:$H$20</definedName>
    <definedName name="_xlnm.Print_Area" localSheetId="11">'33KV DP Suspension Labour'!$B$3:$L$22</definedName>
    <definedName name="_xlnm.Print_Area" localSheetId="16">'33KV DP Suspension Line'!$B$2:$H$24</definedName>
    <definedName name="_xlnm.Print_Area" localSheetId="4">'33KV line labour'!$B$3:$R$83</definedName>
    <definedName name="_xlnm.Print_Area" localSheetId="19">'33KV_Dog_100'!$B$2:$H$40</definedName>
    <definedName name="_xlnm.Print_Area" localSheetId="17">'33KV_Panther_232'!$B$2:$H$40</definedName>
    <definedName name="_xlnm.Print_Area" localSheetId="18">'33KV_Wolf_150'!$B$2:$H$40</definedName>
    <definedName name="_xlnm.Print_Area" localSheetId="15">'3ph Service Connection'!$B$2:$G$17</definedName>
    <definedName name="_xlnm.Print_Area" localSheetId="9">'AB Cable labour'!$B$2:$U$41</definedName>
    <definedName name="_xlnm.Print_Area" localSheetId="25">'DSS 100 KVA'!$B$2:$H$50</definedName>
    <definedName name="_xlnm.Print_Area" localSheetId="26">'DSS 200 KVA'!$B$2:$H$50</definedName>
    <definedName name="_xlnm.Print_Area" localSheetId="23">'DSS 25 KVA'!$B$2:$H$48</definedName>
    <definedName name="_xlnm.Print_Area" localSheetId="27">'DSS 315 KVA'!$B$2:$H$50</definedName>
    <definedName name="_xlnm.Print_Area" localSheetId="28">'DSS 500 KVA'!$B$2:$H$47</definedName>
    <definedName name="_xlnm.Print_Area" localSheetId="24">'DSS 63 KVA'!$B$2:$H$50</definedName>
    <definedName name="_xlnm.Print_Area" localSheetId="7">'DSS labour'!$B$2:$AA$29</definedName>
    <definedName name="_xlnm.Print_Area" localSheetId="0">'Labour cost Escalation Factor'!$B$2:$J$11</definedName>
    <definedName name="_xlnm.Print_Area" localSheetId="34">'LT 50sq mm OH AB'!$B$2:$H$31</definedName>
    <definedName name="_xlnm.Print_Area" localSheetId="33">'LT 95sq mm OH AB'!$B$2:$H$31</definedName>
    <definedName name="_xlnm.Print_Area" localSheetId="8">'LT line labour'!$B$2:$O$39</definedName>
    <definedName name="_xlnm.Print_Area" localSheetId="30">LT_Rabbit_55sq!$B$2:$H$34</definedName>
    <definedName name="_xlnm.Print_Area" localSheetId="29">LT_Weasel_34sq!$B$2:$H$34</definedName>
    <definedName name="_xlnm.Print_Area" localSheetId="2">'Material List'!$B$4:$P$530</definedName>
    <definedName name="_xlnm.Print_Area" localSheetId="13">'PSS 1x10 MVA'!$B$2:$H$60</definedName>
    <definedName name="_xlnm.Print_Area" localSheetId="12">'PSS 2x5 MVA'!$B$2:$H$60</definedName>
    <definedName name="_xlnm.Print_Area" localSheetId="10">'UG line labour'!$B$2:$BI$49</definedName>
    <definedName name="_xlnm.Print_Area" localSheetId="3">'Unit Rate Summary Sheet'!$B$3:$F$80</definedName>
    <definedName name="_xlnm.Print_Titles" localSheetId="5">'11 KV line labour'!$B:$D,'11 KV line labour'!$2:$5</definedName>
    <definedName name="_xlnm.Print_Titles" localSheetId="6">'33-11 KV PSS labour'!$B:$D,'33-11 KV PSS labour'!$2:$5</definedName>
    <definedName name="_xlnm.Print_Titles" localSheetId="11">'33KV DP Suspension Labour'!$B:$D</definedName>
    <definedName name="_xlnm.Print_Titles" localSheetId="4">'33KV line labour'!$B:$D,'33KV line labour'!$2:$5</definedName>
    <definedName name="_xlnm.Print_Titles" localSheetId="9">'AB Cable labour'!$B:$D,'AB Cable labour'!$2:$5</definedName>
    <definedName name="_xlnm.Print_Titles" localSheetId="7">'DSS labour'!$B:$D,'DSS labour'!$2:$5</definedName>
    <definedName name="_xlnm.Print_Titles" localSheetId="8">'LT line labour'!$B:$D,'LT line labour'!$2:$5</definedName>
    <definedName name="_xlnm.Print_Titles" localSheetId="2">'Material List'!$B:$E,'Material List'!$4:$7</definedName>
    <definedName name="_xlnm.Print_Titles" localSheetId="13">'PSS 1x10 MVA'!$3:$3</definedName>
    <definedName name="_xlnm.Print_Titles" localSheetId="12">'PSS 2x5 MVA'!$3:$3</definedName>
    <definedName name="_xlnm.Print_Titles" localSheetId="10">'UG line labour'!$B:$D,'UG line labour'!$2:$5</definedName>
  </definedNames>
  <calcPr calcId="152511"/>
</workbook>
</file>

<file path=xl/calcChain.xml><?xml version="1.0" encoding="utf-8"?>
<calcChain xmlns="http://schemas.openxmlformats.org/spreadsheetml/2006/main">
  <c r="H9" i="15" l="1"/>
  <c r="H8" i="15"/>
  <c r="H7" i="15"/>
  <c r="H13" i="60"/>
  <c r="J11" i="60"/>
  <c r="I11" i="60"/>
  <c r="H11" i="60"/>
  <c r="J9" i="60"/>
  <c r="I9" i="60"/>
  <c r="H9" i="60"/>
  <c r="H7" i="60"/>
  <c r="I6" i="60"/>
  <c r="J5" i="60"/>
  <c r="N544" i="59"/>
  <c r="M538" i="59"/>
  <c r="P538" i="59" s="1"/>
  <c r="M537" i="59"/>
  <c r="P537" i="59" s="1"/>
  <c r="M536" i="59"/>
  <c r="P536" i="59"/>
  <c r="M535" i="59"/>
  <c r="O535" i="59" s="1"/>
  <c r="M534" i="59"/>
  <c r="O534" i="59" s="1"/>
  <c r="O539" i="59" s="1"/>
  <c r="O543" i="59" s="1"/>
  <c r="O544" i="59" s="1"/>
  <c r="O545" i="59" s="1"/>
  <c r="M533" i="59"/>
  <c r="O533" i="59" s="1"/>
  <c r="K530" i="59"/>
  <c r="M530" i="59" s="1"/>
  <c r="R530" i="59" s="1"/>
  <c r="K529" i="59"/>
  <c r="M529" i="59" s="1"/>
  <c r="K528" i="59"/>
  <c r="M528" i="59" s="1"/>
  <c r="O528" i="59" s="1"/>
  <c r="K527" i="59"/>
  <c r="M527" i="59" s="1"/>
  <c r="K526" i="59"/>
  <c r="M526" i="59" s="1"/>
  <c r="K525" i="59"/>
  <c r="M525" i="59" s="1"/>
  <c r="O525" i="59" s="1"/>
  <c r="K524" i="59"/>
  <c r="M524" i="59" s="1"/>
  <c r="Q524" i="59" s="1"/>
  <c r="K523" i="59"/>
  <c r="M523" i="59" s="1"/>
  <c r="R521" i="59"/>
  <c r="Q521" i="59"/>
  <c r="T520" i="59"/>
  <c r="T519" i="59"/>
  <c r="T518" i="59"/>
  <c r="T517" i="59"/>
  <c r="T516" i="59"/>
  <c r="K515" i="59"/>
  <c r="M515" i="59" s="1"/>
  <c r="O515" i="59" s="1"/>
  <c r="K514" i="59"/>
  <c r="M514" i="59" s="1"/>
  <c r="O514" i="59" s="1"/>
  <c r="K513" i="59"/>
  <c r="M513" i="59" s="1"/>
  <c r="O513" i="59" s="1"/>
  <c r="K512" i="59"/>
  <c r="M512" i="59" s="1"/>
  <c r="O512" i="59" s="1"/>
  <c r="K511" i="59"/>
  <c r="M511" i="59" s="1"/>
  <c r="O511" i="59" s="1"/>
  <c r="K510" i="59"/>
  <c r="M510" i="59" s="1"/>
  <c r="O510" i="59" s="1"/>
  <c r="T508" i="59"/>
  <c r="T507" i="59"/>
  <c r="T506" i="59"/>
  <c r="T505" i="59"/>
  <c r="T504" i="59"/>
  <c r="T503" i="59"/>
  <c r="T502" i="59"/>
  <c r="T501" i="59"/>
  <c r="T500" i="59"/>
  <c r="T499" i="59"/>
  <c r="T498" i="59"/>
  <c r="T497" i="59"/>
  <c r="T496" i="59"/>
  <c r="T495" i="59"/>
  <c r="T494" i="59"/>
  <c r="T493" i="59"/>
  <c r="T492" i="59"/>
  <c r="T491" i="59"/>
  <c r="T490" i="59"/>
  <c r="T489" i="59"/>
  <c r="T488" i="59"/>
  <c r="K487" i="59"/>
  <c r="M487" i="59" s="1"/>
  <c r="K486" i="59"/>
  <c r="M486" i="59" s="1"/>
  <c r="K485" i="59"/>
  <c r="M485" i="59" s="1"/>
  <c r="Q485" i="59" s="1"/>
  <c r="K484" i="59"/>
  <c r="M484" i="59" s="1"/>
  <c r="R484" i="59" s="1"/>
  <c r="K483" i="59"/>
  <c r="M483" i="59" s="1"/>
  <c r="Q483" i="59" s="1"/>
  <c r="T482" i="59"/>
  <c r="T481" i="59"/>
  <c r="T480" i="59"/>
  <c r="K479" i="59"/>
  <c r="M479" i="59" s="1"/>
  <c r="K477" i="59"/>
  <c r="M477" i="59" s="1"/>
  <c r="K476" i="59"/>
  <c r="M476" i="59" s="1"/>
  <c r="K475" i="59"/>
  <c r="M475" i="59" s="1"/>
  <c r="O475" i="59" s="1"/>
  <c r="K474" i="59"/>
  <c r="M474" i="59" s="1"/>
  <c r="O474" i="59" s="1"/>
  <c r="K472" i="59"/>
  <c r="M472" i="59" s="1"/>
  <c r="K471" i="59"/>
  <c r="M471" i="59" s="1"/>
  <c r="Q471" i="59" s="1"/>
  <c r="K463" i="59"/>
  <c r="M463" i="59" s="1"/>
  <c r="R463" i="59" s="1"/>
  <c r="K462" i="59"/>
  <c r="M462" i="59" s="1"/>
  <c r="O462" i="59" s="1"/>
  <c r="K461" i="59"/>
  <c r="M461" i="59" s="1"/>
  <c r="K460" i="59"/>
  <c r="M460" i="59" s="1"/>
  <c r="K459" i="59"/>
  <c r="M459" i="59" s="1"/>
  <c r="R459" i="59" s="1"/>
  <c r="K458" i="59"/>
  <c r="M458" i="59" s="1"/>
  <c r="R458" i="59" s="1"/>
  <c r="K457" i="59"/>
  <c r="M457" i="59" s="1"/>
  <c r="K456" i="59"/>
  <c r="M456" i="59" s="1"/>
  <c r="O456" i="59" s="1"/>
  <c r="K455" i="59"/>
  <c r="M455" i="59" s="1"/>
  <c r="K454" i="59"/>
  <c r="M454" i="59" s="1"/>
  <c r="Q454" i="59" s="1"/>
  <c r="K453" i="59"/>
  <c r="M453" i="59" s="1"/>
  <c r="O453" i="59" s="1"/>
  <c r="K452" i="59"/>
  <c r="M452" i="59" s="1"/>
  <c r="K451" i="59"/>
  <c r="M451" i="59" s="1"/>
  <c r="K450" i="59"/>
  <c r="M450" i="59" s="1"/>
  <c r="R450" i="59" s="1"/>
  <c r="K449" i="59"/>
  <c r="M449" i="59" s="1"/>
  <c r="K448" i="59"/>
  <c r="M448" i="59" s="1"/>
  <c r="Q448" i="59" s="1"/>
  <c r="K447" i="59"/>
  <c r="M447" i="59" s="1"/>
  <c r="K446" i="59"/>
  <c r="M446" i="59" s="1"/>
  <c r="Q446" i="59" s="1"/>
  <c r="K445" i="59"/>
  <c r="M445" i="59" s="1"/>
  <c r="Q445" i="59" s="1"/>
  <c r="K444" i="59"/>
  <c r="M444" i="59" s="1"/>
  <c r="Q444" i="59" s="1"/>
  <c r="K443" i="59"/>
  <c r="M443" i="59" s="1"/>
  <c r="Q443" i="59" s="1"/>
  <c r="K442" i="59"/>
  <c r="M442" i="59" s="1"/>
  <c r="K441" i="59"/>
  <c r="M441" i="59" s="1"/>
  <c r="R441" i="59" s="1"/>
  <c r="K440" i="59"/>
  <c r="M440" i="59" s="1"/>
  <c r="O440" i="59" s="1"/>
  <c r="K439" i="59"/>
  <c r="M439" i="59" s="1"/>
  <c r="K438" i="59"/>
  <c r="M438" i="59" s="1"/>
  <c r="K437" i="59"/>
  <c r="M437" i="59" s="1"/>
  <c r="K436" i="59"/>
  <c r="M436" i="59" s="1"/>
  <c r="R436" i="59" s="1"/>
  <c r="K435" i="59"/>
  <c r="M435" i="59" s="1"/>
  <c r="K434" i="59"/>
  <c r="M434" i="59" s="1"/>
  <c r="K433" i="59"/>
  <c r="M433" i="59" s="1"/>
  <c r="K432" i="59"/>
  <c r="M432" i="59" s="1"/>
  <c r="K431" i="59"/>
  <c r="M431" i="59" s="1"/>
  <c r="O431" i="59" s="1"/>
  <c r="K430" i="59"/>
  <c r="M430" i="59" s="1"/>
  <c r="K429" i="59"/>
  <c r="M429" i="59" s="1"/>
  <c r="O429" i="59" s="1"/>
  <c r="K428" i="59"/>
  <c r="M428" i="59" s="1"/>
  <c r="R428" i="59" s="1"/>
  <c r="K427" i="59"/>
  <c r="M427" i="59" s="1"/>
  <c r="Q427" i="59" s="1"/>
  <c r="K426" i="59"/>
  <c r="M426" i="59" s="1"/>
  <c r="K425" i="59"/>
  <c r="M425" i="59" s="1"/>
  <c r="R425" i="59" s="1"/>
  <c r="K424" i="59"/>
  <c r="M424" i="59" s="1"/>
  <c r="O424" i="59" s="1"/>
  <c r="K423" i="59"/>
  <c r="M423" i="59" s="1"/>
  <c r="Q423" i="59" s="1"/>
  <c r="K422" i="59"/>
  <c r="M422" i="59" s="1"/>
  <c r="Q422" i="59" s="1"/>
  <c r="K421" i="59"/>
  <c r="M421" i="59" s="1"/>
  <c r="K420" i="59"/>
  <c r="M420" i="59" s="1"/>
  <c r="O420" i="59" s="1"/>
  <c r="K419" i="59"/>
  <c r="M419" i="59" s="1"/>
  <c r="O419" i="59" s="1"/>
  <c r="K418" i="59"/>
  <c r="M418" i="59" s="1"/>
  <c r="K417" i="59"/>
  <c r="M417" i="59" s="1"/>
  <c r="O417" i="59" s="1"/>
  <c r="K416" i="59"/>
  <c r="M416" i="59" s="1"/>
  <c r="Q416" i="59" s="1"/>
  <c r="K415" i="59"/>
  <c r="M415" i="59" s="1"/>
  <c r="O415" i="59" s="1"/>
  <c r="K414" i="59"/>
  <c r="M414" i="59" s="1"/>
  <c r="R414" i="59" s="1"/>
  <c r="K413" i="59"/>
  <c r="M413" i="59" s="1"/>
  <c r="R413" i="59" s="1"/>
  <c r="K412" i="59"/>
  <c r="M412" i="59" s="1"/>
  <c r="O412" i="59" s="1"/>
  <c r="K411" i="59"/>
  <c r="M411" i="59" s="1"/>
  <c r="R411" i="59" s="1"/>
  <c r="T410" i="59"/>
  <c r="K410" i="59"/>
  <c r="M410" i="59" s="1"/>
  <c r="R410" i="59" s="1"/>
  <c r="N408" i="59"/>
  <c r="K408" i="59"/>
  <c r="M408" i="59" s="1"/>
  <c r="N406" i="59"/>
  <c r="K406" i="59"/>
  <c r="M406" i="59" s="1"/>
  <c r="N405" i="59"/>
  <c r="N404" i="59"/>
  <c r="K404" i="59"/>
  <c r="M404" i="59" s="1"/>
  <c r="N402" i="59"/>
  <c r="K402" i="59"/>
  <c r="M402" i="59" s="1"/>
  <c r="Q402" i="59" s="1"/>
  <c r="N400" i="59"/>
  <c r="K400" i="59"/>
  <c r="M400" i="59" s="1"/>
  <c r="F399" i="59"/>
  <c r="K398" i="59"/>
  <c r="M398" i="59" s="1"/>
  <c r="R398" i="59" s="1"/>
  <c r="F398" i="59"/>
  <c r="N398" i="59" s="1"/>
  <c r="N396" i="59"/>
  <c r="K396" i="59"/>
  <c r="M396" i="59" s="1"/>
  <c r="R396" i="59" s="1"/>
  <c r="N394" i="59"/>
  <c r="K394" i="59"/>
  <c r="M394" i="59" s="1"/>
  <c r="N393" i="59"/>
  <c r="N392" i="59"/>
  <c r="K392" i="59"/>
  <c r="M392" i="59" s="1"/>
  <c r="Q392" i="59" s="1"/>
  <c r="N390" i="59"/>
  <c r="K390" i="59"/>
  <c r="M390" i="59" s="1"/>
  <c r="O390" i="59" s="1"/>
  <c r="N388" i="59"/>
  <c r="K388" i="59"/>
  <c r="M388" i="59" s="1"/>
  <c r="O388" i="59" s="1"/>
  <c r="N387" i="59"/>
  <c r="N386" i="59"/>
  <c r="K386" i="59"/>
  <c r="M386" i="59" s="1"/>
  <c r="Q386" i="59" s="1"/>
  <c r="N385" i="59"/>
  <c r="N384" i="59"/>
  <c r="K384" i="59"/>
  <c r="M384" i="59" s="1"/>
  <c r="R384" i="59" s="1"/>
  <c r="N383" i="59"/>
  <c r="N382" i="59"/>
  <c r="K382" i="59"/>
  <c r="M382" i="59" s="1"/>
  <c r="R382" i="59" s="1"/>
  <c r="N381" i="59"/>
  <c r="K380" i="59"/>
  <c r="M380" i="59" s="1"/>
  <c r="O380" i="59" s="1"/>
  <c r="N379" i="59"/>
  <c r="N378" i="59"/>
  <c r="K378" i="59"/>
  <c r="M378" i="59" s="1"/>
  <c r="Q378" i="59" s="1"/>
  <c r="K376" i="59"/>
  <c r="M376" i="59" s="1"/>
  <c r="O376" i="59" s="1"/>
  <c r="N375" i="59"/>
  <c r="K374" i="59"/>
  <c r="M374" i="59" s="1"/>
  <c r="Q374" i="59" s="1"/>
  <c r="N374" i="59"/>
  <c r="K372" i="59"/>
  <c r="M372" i="59" s="1"/>
  <c r="O372" i="59" s="1"/>
  <c r="K370" i="59"/>
  <c r="M370" i="59" s="1"/>
  <c r="Q370" i="59" s="1"/>
  <c r="N370" i="59"/>
  <c r="N368" i="59"/>
  <c r="K368" i="59"/>
  <c r="M368" i="59" s="1"/>
  <c r="N367" i="59"/>
  <c r="N366" i="59"/>
  <c r="K366" i="59"/>
  <c r="M366" i="59" s="1"/>
  <c r="O366" i="59" s="1"/>
  <c r="K364" i="59"/>
  <c r="M364" i="59" s="1"/>
  <c r="N363" i="59"/>
  <c r="N362" i="59"/>
  <c r="K362" i="59"/>
  <c r="M362" i="59" s="1"/>
  <c r="N361" i="59"/>
  <c r="N360" i="59"/>
  <c r="K360" i="59"/>
  <c r="M360" i="59" s="1"/>
  <c r="N359" i="59"/>
  <c r="N358" i="59"/>
  <c r="K358" i="59"/>
  <c r="M358" i="59" s="1"/>
  <c r="N357" i="59"/>
  <c r="K356" i="59"/>
  <c r="M356" i="59" s="1"/>
  <c r="Q356" i="59" s="1"/>
  <c r="N356" i="59"/>
  <c r="N355" i="59"/>
  <c r="N354" i="59"/>
  <c r="K354" i="59"/>
  <c r="M354" i="59" s="1"/>
  <c r="Q354" i="59" s="1"/>
  <c r="N352" i="59"/>
  <c r="K352" i="59"/>
  <c r="M352" i="59" s="1"/>
  <c r="O352" i="59" s="1"/>
  <c r="K350" i="59"/>
  <c r="M350" i="59" s="1"/>
  <c r="N350" i="59"/>
  <c r="K348" i="59"/>
  <c r="M348" i="59" s="1"/>
  <c r="N348" i="59"/>
  <c r="K346" i="59"/>
  <c r="M346" i="59" s="1"/>
  <c r="Q346" i="59" s="1"/>
  <c r="N344" i="59"/>
  <c r="K344" i="59"/>
  <c r="M344" i="59" s="1"/>
  <c r="N343" i="59"/>
  <c r="N342" i="59"/>
  <c r="K342" i="59"/>
  <c r="M342" i="59" s="1"/>
  <c r="O342" i="59" s="1"/>
  <c r="N341" i="59"/>
  <c r="N340" i="59"/>
  <c r="K340" i="59"/>
  <c r="M340" i="59" s="1"/>
  <c r="O340" i="59" s="1"/>
  <c r="N339" i="59"/>
  <c r="N338" i="59"/>
  <c r="K338" i="59"/>
  <c r="M338" i="59" s="1"/>
  <c r="R338" i="59" s="1"/>
  <c r="N337" i="59"/>
  <c r="N336" i="59"/>
  <c r="K336" i="59"/>
  <c r="M336" i="59" s="1"/>
  <c r="R336" i="59" s="1"/>
  <c r="N335" i="59"/>
  <c r="K334" i="59"/>
  <c r="M334" i="59" s="1"/>
  <c r="N334" i="59"/>
  <c r="N333" i="59"/>
  <c r="N332" i="59"/>
  <c r="K332" i="59"/>
  <c r="M332" i="59" s="1"/>
  <c r="N331" i="59"/>
  <c r="N330" i="59"/>
  <c r="K330" i="59"/>
  <c r="M330" i="59" s="1"/>
  <c r="N329" i="59"/>
  <c r="N328" i="59"/>
  <c r="K328" i="59"/>
  <c r="M328" i="59" s="1"/>
  <c r="R328" i="59" s="1"/>
  <c r="N327" i="59"/>
  <c r="K326" i="59"/>
  <c r="M326" i="59" s="1"/>
  <c r="O326" i="59" s="1"/>
  <c r="N326" i="59"/>
  <c r="N325" i="59"/>
  <c r="N324" i="59"/>
  <c r="K324" i="59"/>
  <c r="M324" i="59" s="1"/>
  <c r="R324" i="59" s="1"/>
  <c r="N323" i="59"/>
  <c r="N322" i="59"/>
  <c r="K322" i="59"/>
  <c r="M322" i="59" s="1"/>
  <c r="R322" i="59" s="1"/>
  <c r="N321" i="59"/>
  <c r="K320" i="59"/>
  <c r="M320" i="59" s="1"/>
  <c r="Q320" i="59" s="1"/>
  <c r="N319" i="59"/>
  <c r="N318" i="59"/>
  <c r="K318" i="59"/>
  <c r="M318" i="59" s="1"/>
  <c r="R318" i="59" s="1"/>
  <c r="N317" i="59"/>
  <c r="N316" i="59"/>
  <c r="K316" i="59"/>
  <c r="M316" i="59" s="1"/>
  <c r="Q316" i="59" s="1"/>
  <c r="N315" i="59"/>
  <c r="N314" i="59"/>
  <c r="K314" i="59"/>
  <c r="M314" i="59" s="1"/>
  <c r="N313" i="59"/>
  <c r="N312" i="59"/>
  <c r="K312" i="59"/>
  <c r="M312" i="59" s="1"/>
  <c r="N311" i="59"/>
  <c r="N310" i="59"/>
  <c r="K310" i="59"/>
  <c r="M310" i="59" s="1"/>
  <c r="R310" i="59" s="1"/>
  <c r="N309" i="59"/>
  <c r="N308" i="59"/>
  <c r="K308" i="59"/>
  <c r="M308" i="59" s="1"/>
  <c r="R308" i="59" s="1"/>
  <c r="N307" i="59"/>
  <c r="N306" i="59"/>
  <c r="K306" i="59"/>
  <c r="M306" i="59" s="1"/>
  <c r="N304" i="59"/>
  <c r="K304" i="59"/>
  <c r="M304" i="59" s="1"/>
  <c r="R304" i="59" s="1"/>
  <c r="N302" i="59"/>
  <c r="K302" i="59"/>
  <c r="M302" i="59" s="1"/>
  <c r="R302" i="59" s="1"/>
  <c r="N301" i="59"/>
  <c r="N300" i="59"/>
  <c r="K300" i="59"/>
  <c r="M300" i="59" s="1"/>
  <c r="N298" i="59"/>
  <c r="K298" i="59"/>
  <c r="M298" i="59" s="1"/>
  <c r="N296" i="59"/>
  <c r="K296" i="59"/>
  <c r="M296" i="59" s="1"/>
  <c r="R296" i="59" s="1"/>
  <c r="N294" i="59"/>
  <c r="K294" i="59"/>
  <c r="M294" i="59" s="1"/>
  <c r="Q294" i="59" s="1"/>
  <c r="N293" i="59"/>
  <c r="N292" i="59"/>
  <c r="K292" i="59"/>
  <c r="M292" i="59" s="1"/>
  <c r="O292" i="59" s="1"/>
  <c r="G291" i="59"/>
  <c r="N290" i="59"/>
  <c r="K290" i="59"/>
  <c r="M290" i="59" s="1"/>
  <c r="N288" i="59"/>
  <c r="K288" i="59"/>
  <c r="M288" i="59" s="1"/>
  <c r="N286" i="59"/>
  <c r="K286" i="59"/>
  <c r="M286" i="59" s="1"/>
  <c r="R286" i="59" s="1"/>
  <c r="N284" i="59"/>
  <c r="K284" i="59"/>
  <c r="M284" i="59" s="1"/>
  <c r="Q284" i="59" s="1"/>
  <c r="N282" i="59"/>
  <c r="K282" i="59"/>
  <c r="M282" i="59" s="1"/>
  <c r="R282" i="59" s="1"/>
  <c r="T281" i="59"/>
  <c r="T271" i="59"/>
  <c r="T270" i="59"/>
  <c r="K269" i="59"/>
  <c r="M269" i="59" s="1"/>
  <c r="K268" i="59"/>
  <c r="M268" i="59" s="1"/>
  <c r="O268" i="59" s="1"/>
  <c r="K267" i="59"/>
  <c r="M267" i="59" s="1"/>
  <c r="K265" i="59"/>
  <c r="M265" i="59" s="1"/>
  <c r="K264" i="59"/>
  <c r="M264" i="59" s="1"/>
  <c r="R264" i="59" s="1"/>
  <c r="K263" i="59"/>
  <c r="M263" i="59" s="1"/>
  <c r="Q263" i="59" s="1"/>
  <c r="T261" i="59"/>
  <c r="T260" i="59"/>
  <c r="T259" i="59"/>
  <c r="T257" i="59"/>
  <c r="T256" i="59"/>
  <c r="T255" i="59"/>
  <c r="T254" i="59"/>
  <c r="T253" i="59"/>
  <c r="T250" i="59"/>
  <c r="T249" i="59"/>
  <c r="T248" i="59"/>
  <c r="T247" i="59"/>
  <c r="T245" i="59"/>
  <c r="K245" i="59"/>
  <c r="M245" i="59" s="1"/>
  <c r="O245" i="59" s="1"/>
  <c r="T244" i="59"/>
  <c r="K244" i="59"/>
  <c r="M244" i="59" s="1"/>
  <c r="T242" i="59"/>
  <c r="T241" i="59"/>
  <c r="T240" i="59"/>
  <c r="T239" i="59"/>
  <c r="T238" i="59"/>
  <c r="K238" i="59"/>
  <c r="M238" i="59" s="1"/>
  <c r="T237" i="59"/>
  <c r="K237" i="59"/>
  <c r="M237" i="59" s="1"/>
  <c r="O237" i="59" s="1"/>
  <c r="T236" i="59"/>
  <c r="K236" i="59"/>
  <c r="M236" i="59" s="1"/>
  <c r="T235" i="59"/>
  <c r="K235" i="59"/>
  <c r="M235" i="59" s="1"/>
  <c r="T234" i="59"/>
  <c r="K234" i="59"/>
  <c r="M234" i="59" s="1"/>
  <c r="T233" i="59"/>
  <c r="K233" i="59"/>
  <c r="M233" i="59" s="1"/>
  <c r="O233" i="59" s="1"/>
  <c r="T232" i="59"/>
  <c r="K232" i="59"/>
  <c r="M232" i="59" s="1"/>
  <c r="Q232" i="59" s="1"/>
  <c r="T231" i="59"/>
  <c r="K231" i="59"/>
  <c r="M231" i="59" s="1"/>
  <c r="Q231" i="59" s="1"/>
  <c r="T230" i="59"/>
  <c r="K230" i="59"/>
  <c r="M230" i="59" s="1"/>
  <c r="R230" i="59" s="1"/>
  <c r="T229" i="59"/>
  <c r="K229" i="59"/>
  <c r="M229" i="59" s="1"/>
  <c r="Q229" i="59" s="1"/>
  <c r="T228" i="59"/>
  <c r="K228" i="59"/>
  <c r="M228" i="59" s="1"/>
  <c r="K227" i="59"/>
  <c r="M227" i="59" s="1"/>
  <c r="K226" i="59"/>
  <c r="M226" i="59" s="1"/>
  <c r="R226" i="59" s="1"/>
  <c r="K225" i="59"/>
  <c r="M225" i="59" s="1"/>
  <c r="Q225" i="59" s="1"/>
  <c r="K224" i="59"/>
  <c r="M224" i="59" s="1"/>
  <c r="T223" i="59"/>
  <c r="K223" i="59"/>
  <c r="M223" i="59" s="1"/>
  <c r="T222" i="59"/>
  <c r="K222" i="59"/>
  <c r="M222" i="59" s="1"/>
  <c r="T221" i="59"/>
  <c r="K221" i="59"/>
  <c r="M221" i="59" s="1"/>
  <c r="T220" i="59"/>
  <c r="K220" i="59"/>
  <c r="M220" i="59" s="1"/>
  <c r="T219" i="59"/>
  <c r="K219" i="59"/>
  <c r="M219" i="59" s="1"/>
  <c r="T218" i="59"/>
  <c r="K218" i="59"/>
  <c r="M218" i="59" s="1"/>
  <c r="T217" i="59"/>
  <c r="K217" i="59"/>
  <c r="M217" i="59" s="1"/>
  <c r="R217" i="59" s="1"/>
  <c r="T216" i="59"/>
  <c r="K216" i="59"/>
  <c r="M216" i="59" s="1"/>
  <c r="R216" i="59" s="1"/>
  <c r="T215" i="59"/>
  <c r="K215" i="59"/>
  <c r="M215" i="59" s="1"/>
  <c r="T214" i="59"/>
  <c r="K214" i="59"/>
  <c r="M214" i="59" s="1"/>
  <c r="T213" i="59"/>
  <c r="K213" i="59"/>
  <c r="M213" i="59" s="1"/>
  <c r="T212" i="59"/>
  <c r="K212" i="59"/>
  <c r="M212" i="59" s="1"/>
  <c r="R212" i="59" s="1"/>
  <c r="T211" i="59"/>
  <c r="K211" i="59"/>
  <c r="M211" i="59" s="1"/>
  <c r="R211" i="59" s="1"/>
  <c r="T210" i="59"/>
  <c r="K210" i="59"/>
  <c r="M210" i="59" s="1"/>
  <c r="R210" i="59" s="1"/>
  <c r="T209" i="59"/>
  <c r="K209" i="59"/>
  <c r="M209" i="59" s="1"/>
  <c r="R209" i="59" s="1"/>
  <c r="T208" i="59"/>
  <c r="K208" i="59"/>
  <c r="M208" i="59" s="1"/>
  <c r="T207" i="59"/>
  <c r="K207" i="59"/>
  <c r="M207" i="59" s="1"/>
  <c r="R207" i="59" s="1"/>
  <c r="T206" i="59"/>
  <c r="T205" i="59"/>
  <c r="K205" i="59"/>
  <c r="M205" i="59" s="1"/>
  <c r="O205" i="59" s="1"/>
  <c r="T204" i="59"/>
  <c r="T203" i="59"/>
  <c r="T202" i="59"/>
  <c r="T201" i="59"/>
  <c r="T200" i="59"/>
  <c r="T199" i="59"/>
  <c r="K199" i="59"/>
  <c r="M199" i="59" s="1"/>
  <c r="T198" i="59"/>
  <c r="T197" i="59"/>
  <c r="T196" i="59"/>
  <c r="T194" i="59"/>
  <c r="T193" i="59"/>
  <c r="T192" i="59"/>
  <c r="K192" i="59"/>
  <c r="M192" i="59" s="1"/>
  <c r="O192" i="59" s="1"/>
  <c r="T191" i="59"/>
  <c r="K191" i="59"/>
  <c r="M191" i="59" s="1"/>
  <c r="O191" i="59" s="1"/>
  <c r="T190" i="59"/>
  <c r="K190" i="59"/>
  <c r="M190" i="59" s="1"/>
  <c r="T189" i="59"/>
  <c r="K189" i="59"/>
  <c r="M189" i="59" s="1"/>
  <c r="T188" i="59"/>
  <c r="T187" i="59"/>
  <c r="T186" i="59"/>
  <c r="T185" i="59"/>
  <c r="K185" i="59"/>
  <c r="M185" i="59" s="1"/>
  <c r="T184" i="59"/>
  <c r="T183" i="59"/>
  <c r="T182" i="59"/>
  <c r="T181" i="59"/>
  <c r="K168" i="59"/>
  <c r="M168" i="59" s="1"/>
  <c r="O168" i="59" s="1"/>
  <c r="T167" i="59"/>
  <c r="T166" i="59"/>
  <c r="T165" i="59"/>
  <c r="T164" i="59"/>
  <c r="T163" i="59"/>
  <c r="K160" i="59"/>
  <c r="M160" i="59" s="1"/>
  <c r="O160" i="59" s="1"/>
  <c r="T156" i="59"/>
  <c r="T155" i="59"/>
  <c r="T154" i="59"/>
  <c r="T153" i="59"/>
  <c r="T152" i="59"/>
  <c r="K152" i="59"/>
  <c r="M152" i="59" s="1"/>
  <c r="K151" i="59"/>
  <c r="M151" i="59" s="1"/>
  <c r="R151" i="59" s="1"/>
  <c r="T150" i="59"/>
  <c r="T147" i="59"/>
  <c r="T146" i="59"/>
  <c r="T144" i="59"/>
  <c r="T143" i="59"/>
  <c r="T124" i="59"/>
  <c r="T123" i="59"/>
  <c r="T122" i="59"/>
  <c r="K122" i="59"/>
  <c r="M122" i="59" s="1"/>
  <c r="T121" i="59"/>
  <c r="K121" i="59"/>
  <c r="M121" i="59" s="1"/>
  <c r="T120" i="59"/>
  <c r="K120" i="59"/>
  <c r="M120" i="59" s="1"/>
  <c r="Q120" i="59" s="1"/>
  <c r="T118" i="59"/>
  <c r="T117" i="59"/>
  <c r="T116" i="59"/>
  <c r="K116" i="59"/>
  <c r="M116" i="59" s="1"/>
  <c r="O116" i="59" s="1"/>
  <c r="T115" i="59"/>
  <c r="T97" i="59"/>
  <c r="T96" i="59"/>
  <c r="T95" i="59"/>
  <c r="T93" i="59"/>
  <c r="T92" i="59"/>
  <c r="T91" i="59"/>
  <c r="K89" i="59"/>
  <c r="M89" i="59" s="1"/>
  <c r="O89" i="59" s="1"/>
  <c r="K87" i="59"/>
  <c r="M87" i="59" s="1"/>
  <c r="O87" i="59" s="1"/>
  <c r="K85" i="59"/>
  <c r="M85" i="59" s="1"/>
  <c r="K83" i="59"/>
  <c r="M83" i="59" s="1"/>
  <c r="R83" i="59" s="1"/>
  <c r="K81" i="59"/>
  <c r="M81" i="59" s="1"/>
  <c r="O81" i="59" s="1"/>
  <c r="K79" i="59"/>
  <c r="M79" i="59" s="1"/>
  <c r="O79" i="59" s="1"/>
  <c r="K77" i="59"/>
  <c r="M77" i="59" s="1"/>
  <c r="O77" i="59" s="1"/>
  <c r="K75" i="59"/>
  <c r="M75" i="59" s="1"/>
  <c r="K73" i="59"/>
  <c r="M73" i="59" s="1"/>
  <c r="T72" i="59"/>
  <c r="T70" i="59"/>
  <c r="K70" i="59"/>
  <c r="M70" i="59" s="1"/>
  <c r="R70" i="59" s="1"/>
  <c r="K68" i="59"/>
  <c r="M68" i="59" s="1"/>
  <c r="T67" i="59"/>
  <c r="K67" i="59"/>
  <c r="M67" i="59" s="1"/>
  <c r="K66" i="59"/>
  <c r="M66" i="59" s="1"/>
  <c r="O66" i="59" s="1"/>
  <c r="K63" i="59"/>
  <c r="M63" i="59" s="1"/>
  <c r="Q63" i="59" s="1"/>
  <c r="K62" i="59"/>
  <c r="M62" i="59" s="1"/>
  <c r="R62" i="59" s="1"/>
  <c r="T51" i="59"/>
  <c r="T48" i="59"/>
  <c r="T47" i="59"/>
  <c r="T46" i="59"/>
  <c r="T44" i="59"/>
  <c r="T42" i="59"/>
  <c r="T40" i="59"/>
  <c r="T39" i="59"/>
  <c r="T35" i="59"/>
  <c r="T31" i="59"/>
  <c r="T27" i="59"/>
  <c r="K23" i="59"/>
  <c r="M23" i="59" s="1"/>
  <c r="X19" i="59"/>
  <c r="Y19" i="59" s="1"/>
  <c r="V17" i="59"/>
  <c r="K17" i="59"/>
  <c r="M17" i="59" s="1"/>
  <c r="Q17" i="59" s="1"/>
  <c r="K8" i="59"/>
  <c r="M8" i="59" s="1"/>
  <c r="Q8" i="59" s="1"/>
  <c r="Q432" i="59"/>
  <c r="Q417" i="59"/>
  <c r="Q429" i="59"/>
  <c r="Q424" i="59"/>
  <c r="O452" i="59"/>
  <c r="Q412" i="59"/>
  <c r="L9" i="60"/>
  <c r="Y9" i="59"/>
  <c r="L280" i="59" s="1"/>
  <c r="K280" i="59" s="1"/>
  <c r="M280" i="59" s="1"/>
  <c r="K9" i="60"/>
  <c r="Y8" i="59"/>
  <c r="L5" i="60"/>
  <c r="K5" i="60"/>
  <c r="J8" i="60"/>
  <c r="H6" i="60"/>
  <c r="I5" i="60"/>
  <c r="I8" i="60"/>
  <c r="J7" i="60"/>
  <c r="H5" i="60"/>
  <c r="H8" i="60"/>
  <c r="I7" i="60"/>
  <c r="J6" i="60"/>
  <c r="K10" i="60"/>
  <c r="L3" i="59"/>
  <c r="L164" i="59" s="1"/>
  <c r="K164" i="59" s="1"/>
  <c r="M164" i="59" s="1"/>
  <c r="O164" i="59" s="1"/>
  <c r="U8" i="59"/>
  <c r="L159" i="59" s="1"/>
  <c r="K159" i="59" s="1"/>
  <c r="M159" i="59" s="1"/>
  <c r="U9" i="59"/>
  <c r="L98" i="59" s="1"/>
  <c r="K98" i="59" s="1"/>
  <c r="M98" i="59" s="1"/>
  <c r="Q98" i="59" s="1"/>
  <c r="L6" i="60"/>
  <c r="V9" i="59"/>
  <c r="L255" i="59" s="1"/>
  <c r="K255" i="59" s="1"/>
  <c r="M255" i="59" s="1"/>
  <c r="K6" i="60"/>
  <c r="V8" i="59"/>
  <c r="K7" i="60"/>
  <c r="W8" i="59"/>
  <c r="L101" i="59" s="1"/>
  <c r="K101" i="59" s="1"/>
  <c r="M101" i="59" s="1"/>
  <c r="L7" i="60"/>
  <c r="W9" i="59"/>
  <c r="L8" i="60"/>
  <c r="X9" i="59"/>
  <c r="L150" i="59" s="1"/>
  <c r="K150" i="59" s="1"/>
  <c r="M150" i="59" s="1"/>
  <c r="R150" i="59" s="1"/>
  <c r="K8" i="60"/>
  <c r="X8" i="59"/>
  <c r="E43" i="13"/>
  <c r="E9" i="13"/>
  <c r="L473" i="59"/>
  <c r="K473" i="59" s="1"/>
  <c r="M473" i="59" s="1"/>
  <c r="R473" i="59" s="1"/>
  <c r="L163" i="59"/>
  <c r="K163" i="59" s="1"/>
  <c r="M163" i="59" s="1"/>
  <c r="L176" i="59"/>
  <c r="K176" i="59" s="1"/>
  <c r="M176" i="59" s="1"/>
  <c r="R176" i="59" s="1"/>
  <c r="L184" i="59"/>
  <c r="K184" i="59" s="1"/>
  <c r="M184" i="59" s="1"/>
  <c r="L96" i="59"/>
  <c r="K96" i="59" s="1"/>
  <c r="M96" i="59" s="1"/>
  <c r="R96" i="59" s="1"/>
  <c r="L25" i="59"/>
  <c r="K25" i="59" s="1"/>
  <c r="M25" i="59" s="1"/>
  <c r="L33" i="59"/>
  <c r="K33" i="59" s="1"/>
  <c r="M33" i="59" s="1"/>
  <c r="O33" i="59" s="1"/>
  <c r="L157" i="59"/>
  <c r="K157" i="59" s="1"/>
  <c r="M157" i="59" s="1"/>
  <c r="O157" i="59" s="1"/>
  <c r="L130" i="59"/>
  <c r="K130" i="59" s="1"/>
  <c r="M130" i="59" s="1"/>
  <c r="O130" i="59" s="1"/>
  <c r="L21" i="59"/>
  <c r="K21" i="59" s="1"/>
  <c r="M21" i="59" s="1"/>
  <c r="Q21" i="59" s="1"/>
  <c r="L129" i="59"/>
  <c r="K129" i="59" s="1"/>
  <c r="M129" i="59" s="1"/>
  <c r="Q129" i="59" s="1"/>
  <c r="L19" i="59"/>
  <c r="K19" i="59" s="1"/>
  <c r="M19" i="59" s="1"/>
  <c r="O19" i="59" s="1"/>
  <c r="L106" i="59"/>
  <c r="K106" i="59" s="1"/>
  <c r="M106" i="59" s="1"/>
  <c r="L47" i="59"/>
  <c r="K47" i="59" s="1"/>
  <c r="M47" i="59" s="1"/>
  <c r="L100" i="59"/>
  <c r="K100" i="59" s="1"/>
  <c r="M100" i="59" s="1"/>
  <c r="L39" i="59"/>
  <c r="K39" i="59" s="1"/>
  <c r="M39" i="59" s="1"/>
  <c r="L10" i="60"/>
  <c r="L2" i="59"/>
  <c r="L277" i="59"/>
  <c r="K277" i="59" s="1"/>
  <c r="M277" i="59" s="1"/>
  <c r="O277" i="59" s="1"/>
  <c r="L271" i="59"/>
  <c r="K271" i="59" s="1"/>
  <c r="M271" i="59" s="1"/>
  <c r="O271" i="59" s="1"/>
  <c r="L249" i="59"/>
  <c r="K249" i="59" s="1"/>
  <c r="M249" i="59" s="1"/>
  <c r="R249" i="59" s="1"/>
  <c r="L248" i="59"/>
  <c r="K248" i="59" s="1"/>
  <c r="M248" i="59" s="1"/>
  <c r="O248" i="59" s="1"/>
  <c r="L111" i="59"/>
  <c r="K111" i="59" s="1"/>
  <c r="M111" i="59" s="1"/>
  <c r="Q111" i="59" s="1"/>
  <c r="L44" i="59"/>
  <c r="K44" i="59" s="1"/>
  <c r="M44" i="59" s="1"/>
  <c r="R44" i="59" s="1"/>
  <c r="L149" i="59"/>
  <c r="K149" i="59" s="1"/>
  <c r="M149" i="59" s="1"/>
  <c r="L145" i="59"/>
  <c r="K145" i="59" s="1"/>
  <c r="M145" i="59" s="1"/>
  <c r="L144" i="59"/>
  <c r="K144" i="59" s="1"/>
  <c r="M144" i="59" s="1"/>
  <c r="R144" i="59" s="1"/>
  <c r="L143" i="59"/>
  <c r="K143" i="59" s="1"/>
  <c r="M143" i="59" s="1"/>
  <c r="O143" i="59" s="1"/>
  <c r="L141" i="59"/>
  <c r="K141" i="59" s="1"/>
  <c r="M141" i="59" s="1"/>
  <c r="Q141" i="59" s="1"/>
  <c r="L142" i="59"/>
  <c r="K142" i="59" s="1"/>
  <c r="M142" i="59" s="1"/>
  <c r="L148" i="59"/>
  <c r="K148" i="59" s="1"/>
  <c r="M148" i="59" s="1"/>
  <c r="R148" i="59" s="1"/>
  <c r="L147" i="59"/>
  <c r="K147" i="59" s="1"/>
  <c r="M147" i="59" s="1"/>
  <c r="O147" i="59" s="1"/>
  <c r="L146" i="59"/>
  <c r="K146" i="59" s="1"/>
  <c r="M146" i="59" s="1"/>
  <c r="R146" i="59" s="1"/>
  <c r="L109" i="59"/>
  <c r="K109" i="59" s="1"/>
  <c r="M109" i="59" s="1"/>
  <c r="O109" i="59" s="1"/>
  <c r="L107" i="59"/>
  <c r="K107" i="59" s="1"/>
  <c r="M107" i="59" s="1"/>
  <c r="Q107" i="59" s="1"/>
  <c r="L104" i="59"/>
  <c r="K104" i="59" s="1"/>
  <c r="M104" i="59" s="1"/>
  <c r="O104" i="59" s="1"/>
  <c r="L108" i="59"/>
  <c r="K108" i="59" s="1"/>
  <c r="M108" i="59" s="1"/>
  <c r="Q108" i="59" s="1"/>
  <c r="L102" i="59"/>
  <c r="K102" i="59" s="1"/>
  <c r="M102" i="59" s="1"/>
  <c r="Q102" i="59" s="1"/>
  <c r="L469" i="59"/>
  <c r="K469" i="59" s="1"/>
  <c r="M469" i="59" s="1"/>
  <c r="R469" i="59" s="1"/>
  <c r="L467" i="59"/>
  <c r="K467" i="59" s="1"/>
  <c r="M467" i="59" s="1"/>
  <c r="L465" i="59"/>
  <c r="K465" i="59" s="1"/>
  <c r="M465" i="59" s="1"/>
  <c r="O465" i="59" s="1"/>
  <c r="L468" i="59"/>
  <c r="K468" i="59" s="1"/>
  <c r="M468" i="59" s="1"/>
  <c r="Q468" i="59" s="1"/>
  <c r="L464" i="59"/>
  <c r="K464" i="59" s="1"/>
  <c r="M464" i="59" s="1"/>
  <c r="R464" i="59" s="1"/>
  <c r="L470" i="59"/>
  <c r="K470" i="59" s="1"/>
  <c r="M470" i="59" s="1"/>
  <c r="R470" i="59" s="1"/>
  <c r="L466" i="59"/>
  <c r="K466" i="59" s="1"/>
  <c r="M466" i="59" s="1"/>
  <c r="R466" i="59" s="1"/>
  <c r="L409" i="59"/>
  <c r="K409" i="59" s="1"/>
  <c r="M409" i="59" s="1"/>
  <c r="O409" i="59" s="1"/>
  <c r="L407" i="59"/>
  <c r="K407" i="59" s="1"/>
  <c r="M407" i="59" s="1"/>
  <c r="O407" i="59" s="1"/>
  <c r="L393" i="59"/>
  <c r="K393" i="59" s="1"/>
  <c r="M393" i="59" s="1"/>
  <c r="R393" i="59" s="1"/>
  <c r="L391" i="59"/>
  <c r="K391" i="59" s="1"/>
  <c r="M391" i="59" s="1"/>
  <c r="O391" i="59" s="1"/>
  <c r="L389" i="59"/>
  <c r="K389" i="59" s="1"/>
  <c r="M389" i="59" s="1"/>
  <c r="O389" i="59" s="1"/>
  <c r="L381" i="59"/>
  <c r="K381" i="59" s="1"/>
  <c r="M381" i="59" s="1"/>
  <c r="Q381" i="59" s="1"/>
  <c r="L379" i="59"/>
  <c r="K379" i="59" s="1"/>
  <c r="M379" i="59" s="1"/>
  <c r="L377" i="59"/>
  <c r="K377" i="59" s="1"/>
  <c r="M377" i="59" s="1"/>
  <c r="L375" i="59"/>
  <c r="K375" i="59" s="1"/>
  <c r="M375" i="59" s="1"/>
  <c r="Q375" i="59" s="1"/>
  <c r="L373" i="59"/>
  <c r="K373" i="59" s="1"/>
  <c r="M373" i="59" s="1"/>
  <c r="O373" i="59" s="1"/>
  <c r="L367" i="59"/>
  <c r="K367" i="59" s="1"/>
  <c r="M367" i="59" s="1"/>
  <c r="Q367" i="59" s="1"/>
  <c r="L365" i="59"/>
  <c r="K365" i="59" s="1"/>
  <c r="M365" i="59" s="1"/>
  <c r="Q365" i="59" s="1"/>
  <c r="L363" i="59"/>
  <c r="K363" i="59" s="1"/>
  <c r="M363" i="59" s="1"/>
  <c r="R363" i="59" s="1"/>
  <c r="L355" i="59"/>
  <c r="K355" i="59" s="1"/>
  <c r="M355" i="59" s="1"/>
  <c r="L353" i="59"/>
  <c r="K353" i="59" s="1"/>
  <c r="M353" i="59" s="1"/>
  <c r="Q353" i="59" s="1"/>
  <c r="L405" i="59"/>
  <c r="K405" i="59" s="1"/>
  <c r="M405" i="59" s="1"/>
  <c r="L403" i="59"/>
  <c r="K403" i="59" s="1"/>
  <c r="M403" i="59" s="1"/>
  <c r="R403" i="59" s="1"/>
  <c r="L401" i="59"/>
  <c r="K401" i="59" s="1"/>
  <c r="M401" i="59" s="1"/>
  <c r="R401" i="59" s="1"/>
  <c r="L399" i="59"/>
  <c r="K399" i="59" s="1"/>
  <c r="M399" i="59" s="1"/>
  <c r="L387" i="59"/>
  <c r="K387" i="59" s="1"/>
  <c r="M387" i="59" s="1"/>
  <c r="L361" i="59"/>
  <c r="K361" i="59" s="1"/>
  <c r="M361" i="59" s="1"/>
  <c r="O361" i="59" s="1"/>
  <c r="L341" i="59"/>
  <c r="K341" i="59" s="1"/>
  <c r="M341" i="59" s="1"/>
  <c r="Q341" i="59" s="1"/>
  <c r="L333" i="59"/>
  <c r="K333" i="59" s="1"/>
  <c r="M333" i="59" s="1"/>
  <c r="O333" i="59" s="1"/>
  <c r="L325" i="59"/>
  <c r="K325" i="59" s="1"/>
  <c r="M325" i="59" s="1"/>
  <c r="Q325" i="59" s="1"/>
  <c r="L385" i="59"/>
  <c r="K385" i="59" s="1"/>
  <c r="M385" i="59" s="1"/>
  <c r="R385" i="59" s="1"/>
  <c r="L359" i="59"/>
  <c r="K359" i="59" s="1"/>
  <c r="M359" i="59" s="1"/>
  <c r="R359" i="59" s="1"/>
  <c r="L339" i="59"/>
  <c r="K339" i="59" s="1"/>
  <c r="M339" i="59" s="1"/>
  <c r="R339" i="59" s="1"/>
  <c r="L331" i="59"/>
  <c r="K331" i="59" s="1"/>
  <c r="M331" i="59" s="1"/>
  <c r="O331" i="59" s="1"/>
  <c r="L323" i="59"/>
  <c r="K323" i="59" s="1"/>
  <c r="M323" i="59" s="1"/>
  <c r="O323" i="59" s="1"/>
  <c r="L397" i="59"/>
  <c r="K397" i="59" s="1"/>
  <c r="M397" i="59" s="1"/>
  <c r="Q397" i="59" s="1"/>
  <c r="L383" i="59"/>
  <c r="K383" i="59" s="1"/>
  <c r="M383" i="59" s="1"/>
  <c r="O383" i="59" s="1"/>
  <c r="L349" i="59"/>
  <c r="K349" i="59" s="1"/>
  <c r="M349" i="59" s="1"/>
  <c r="O349" i="59" s="1"/>
  <c r="L343" i="59"/>
  <c r="K343" i="59" s="1"/>
  <c r="M343" i="59" s="1"/>
  <c r="O343" i="59" s="1"/>
  <c r="L329" i="59"/>
  <c r="K329" i="59" s="1"/>
  <c r="M329" i="59" s="1"/>
  <c r="R329" i="59" s="1"/>
  <c r="L319" i="59"/>
  <c r="K319" i="59" s="1"/>
  <c r="M319" i="59" s="1"/>
  <c r="R319" i="59" s="1"/>
  <c r="L311" i="59"/>
  <c r="K311" i="59" s="1"/>
  <c r="M311" i="59" s="1"/>
  <c r="L293" i="59"/>
  <c r="K293" i="59" s="1"/>
  <c r="M293" i="59" s="1"/>
  <c r="R293" i="59" s="1"/>
  <c r="L291" i="59"/>
  <c r="K291" i="59" s="1"/>
  <c r="M291" i="59" s="1"/>
  <c r="Q291" i="59" s="1"/>
  <c r="L395" i="59"/>
  <c r="K395" i="59" s="1"/>
  <c r="M395" i="59" s="1"/>
  <c r="L371" i="59"/>
  <c r="K371" i="59" s="1"/>
  <c r="M371" i="59" s="1"/>
  <c r="L351" i="59"/>
  <c r="K351" i="59" s="1"/>
  <c r="M351" i="59" s="1"/>
  <c r="R351" i="59" s="1"/>
  <c r="L335" i="59"/>
  <c r="K335" i="59" s="1"/>
  <c r="M335" i="59" s="1"/>
  <c r="Q335" i="59" s="1"/>
  <c r="L321" i="59"/>
  <c r="K321" i="59" s="1"/>
  <c r="M321" i="59" s="1"/>
  <c r="R321" i="59" s="1"/>
  <c r="L317" i="59"/>
  <c r="K317" i="59" s="1"/>
  <c r="M317" i="59" s="1"/>
  <c r="L309" i="59"/>
  <c r="K309" i="59" s="1"/>
  <c r="M309" i="59" s="1"/>
  <c r="O309" i="59" s="1"/>
  <c r="L289" i="59"/>
  <c r="K289" i="59" s="1"/>
  <c r="M289" i="59" s="1"/>
  <c r="R289" i="59" s="1"/>
  <c r="L287" i="59"/>
  <c r="K287" i="59" s="1"/>
  <c r="M287" i="59" s="1"/>
  <c r="Q287" i="59" s="1"/>
  <c r="L285" i="59"/>
  <c r="K285" i="59" s="1"/>
  <c r="M285" i="59" s="1"/>
  <c r="L283" i="59"/>
  <c r="K283" i="59" s="1"/>
  <c r="M283" i="59" s="1"/>
  <c r="R283" i="59" s="1"/>
  <c r="L273" i="59"/>
  <c r="K273" i="59" s="1"/>
  <c r="M273" i="59" s="1"/>
  <c r="O273" i="59" s="1"/>
  <c r="L258" i="59"/>
  <c r="K258" i="59" s="1"/>
  <c r="M258" i="59" s="1"/>
  <c r="L246" i="59"/>
  <c r="K246" i="59" s="1"/>
  <c r="M246" i="59" s="1"/>
  <c r="L243" i="59"/>
  <c r="K243" i="59" s="1"/>
  <c r="M243" i="59" s="1"/>
  <c r="O243" i="59" s="1"/>
  <c r="L242" i="59"/>
  <c r="K242" i="59" s="1"/>
  <c r="M242" i="59" s="1"/>
  <c r="R242" i="59" s="1"/>
  <c r="L241" i="59"/>
  <c r="K241" i="59" s="1"/>
  <c r="M241" i="59" s="1"/>
  <c r="Q241" i="59" s="1"/>
  <c r="L240" i="59"/>
  <c r="K240" i="59" s="1"/>
  <c r="M240" i="59" s="1"/>
  <c r="L239" i="59"/>
  <c r="K239" i="59" s="1"/>
  <c r="M239" i="59" s="1"/>
  <c r="R239" i="59" s="1"/>
  <c r="L369" i="59"/>
  <c r="K369" i="59" s="1"/>
  <c r="M369" i="59" s="1"/>
  <c r="R369" i="59" s="1"/>
  <c r="L357" i="59"/>
  <c r="K357" i="59" s="1"/>
  <c r="M357" i="59" s="1"/>
  <c r="L345" i="59"/>
  <c r="K345" i="59" s="1"/>
  <c r="M345" i="59" s="1"/>
  <c r="L327" i="59"/>
  <c r="K327" i="59" s="1"/>
  <c r="M327" i="59" s="1"/>
  <c r="Q327" i="59" s="1"/>
  <c r="L315" i="59"/>
  <c r="K315" i="59" s="1"/>
  <c r="M315" i="59" s="1"/>
  <c r="O315" i="59" s="1"/>
  <c r="L307" i="59"/>
  <c r="K307" i="59" s="1"/>
  <c r="M307" i="59" s="1"/>
  <c r="R307" i="59" s="1"/>
  <c r="L305" i="59"/>
  <c r="K305" i="59" s="1"/>
  <c r="M305" i="59" s="1"/>
  <c r="R305" i="59" s="1"/>
  <c r="L303" i="59"/>
  <c r="K303" i="59" s="1"/>
  <c r="M303" i="59" s="1"/>
  <c r="O303" i="59" s="1"/>
  <c r="L337" i="59"/>
  <c r="K337" i="59" s="1"/>
  <c r="M337" i="59" s="1"/>
  <c r="O337" i="59" s="1"/>
  <c r="L313" i="59"/>
  <c r="K313" i="59" s="1"/>
  <c r="M313" i="59" s="1"/>
  <c r="Q313" i="59" s="1"/>
  <c r="L297" i="59"/>
  <c r="K297" i="59" s="1"/>
  <c r="M297" i="59" s="1"/>
  <c r="Q297" i="59" s="1"/>
  <c r="L274" i="59"/>
  <c r="K274" i="59" s="1"/>
  <c r="M274" i="59" s="1"/>
  <c r="R274" i="59" s="1"/>
  <c r="L262" i="59"/>
  <c r="K262" i="59" s="1"/>
  <c r="M262" i="59" s="1"/>
  <c r="R262" i="59" s="1"/>
  <c r="L195" i="59"/>
  <c r="K195" i="59" s="1"/>
  <c r="M195" i="59" s="1"/>
  <c r="L193" i="59"/>
  <c r="K193" i="59" s="1"/>
  <c r="M193" i="59" s="1"/>
  <c r="L347" i="59"/>
  <c r="K347" i="59" s="1"/>
  <c r="M347" i="59" s="1"/>
  <c r="Q347" i="59" s="1"/>
  <c r="L295" i="59"/>
  <c r="K295" i="59" s="1"/>
  <c r="M295" i="59" s="1"/>
  <c r="Q295" i="59" s="1"/>
  <c r="L276" i="59"/>
  <c r="K276" i="59" s="1"/>
  <c r="M276" i="59" s="1"/>
  <c r="R276" i="59" s="1"/>
  <c r="L204" i="59"/>
  <c r="K204" i="59" s="1"/>
  <c r="M204" i="59" s="1"/>
  <c r="L203" i="59"/>
  <c r="K203" i="59" s="1"/>
  <c r="M203" i="59" s="1"/>
  <c r="O203" i="59" s="1"/>
  <c r="L202" i="59"/>
  <c r="K202" i="59" s="1"/>
  <c r="M202" i="59" s="1"/>
  <c r="R202" i="59" s="1"/>
  <c r="L201" i="59"/>
  <c r="K201" i="59" s="1"/>
  <c r="M201" i="59" s="1"/>
  <c r="Q201" i="59" s="1"/>
  <c r="L200" i="59"/>
  <c r="K200" i="59" s="1"/>
  <c r="M200" i="59" s="1"/>
  <c r="L137" i="59"/>
  <c r="K137" i="59" s="1"/>
  <c r="M137" i="59" s="1"/>
  <c r="R137" i="59" s="1"/>
  <c r="L135" i="59"/>
  <c r="K135" i="59" s="1"/>
  <c r="M135" i="59" s="1"/>
  <c r="R135" i="59" s="1"/>
  <c r="L301" i="59"/>
  <c r="K301" i="59" s="1"/>
  <c r="M301" i="59" s="1"/>
  <c r="L266" i="59"/>
  <c r="K266" i="59" s="1"/>
  <c r="M266" i="59" s="1"/>
  <c r="L198" i="59"/>
  <c r="K198" i="59" s="1"/>
  <c r="M198" i="59" s="1"/>
  <c r="L197" i="59"/>
  <c r="K197" i="59" s="1"/>
  <c r="M197" i="59" s="1"/>
  <c r="O197" i="59" s="1"/>
  <c r="L188" i="59"/>
  <c r="K188" i="59" s="1"/>
  <c r="M188" i="59" s="1"/>
  <c r="O188" i="59" s="1"/>
  <c r="L187" i="59"/>
  <c r="K187" i="59" s="1"/>
  <c r="M187" i="59" s="1"/>
  <c r="L186" i="59"/>
  <c r="K186" i="59" s="1"/>
  <c r="M186" i="59" s="1"/>
  <c r="O186" i="59" s="1"/>
  <c r="L299" i="59"/>
  <c r="K299" i="59" s="1"/>
  <c r="M299" i="59" s="1"/>
  <c r="L84" i="59"/>
  <c r="K84" i="59" s="1"/>
  <c r="M84" i="59" s="1"/>
  <c r="L76" i="59"/>
  <c r="K76" i="59" s="1"/>
  <c r="M76" i="59" s="1"/>
  <c r="L72" i="59"/>
  <c r="K72" i="59" s="1"/>
  <c r="M72" i="59" s="1"/>
  <c r="O72" i="59" s="1"/>
  <c r="L71" i="59"/>
  <c r="K71" i="59" s="1"/>
  <c r="M71" i="59" s="1"/>
  <c r="R71" i="59" s="1"/>
  <c r="L65" i="59"/>
  <c r="K65" i="59" s="1"/>
  <c r="M65" i="59" s="1"/>
  <c r="O65" i="59" s="1"/>
  <c r="L60" i="59"/>
  <c r="K60" i="59" s="1"/>
  <c r="M60" i="59" s="1"/>
  <c r="Q60" i="59" s="1"/>
  <c r="L58" i="59"/>
  <c r="K58" i="59" s="1"/>
  <c r="M58" i="59" s="1"/>
  <c r="L134" i="59"/>
  <c r="K134" i="59" s="1"/>
  <c r="M134" i="59" s="1"/>
  <c r="O134" i="59" s="1"/>
  <c r="L132" i="59"/>
  <c r="K132" i="59" s="1"/>
  <c r="M132" i="59" s="1"/>
  <c r="O132" i="59" s="1"/>
  <c r="L113" i="59"/>
  <c r="K113" i="59" s="1"/>
  <c r="M113" i="59" s="1"/>
  <c r="L86" i="59"/>
  <c r="K86" i="59" s="1"/>
  <c r="M86" i="59" s="1"/>
  <c r="O86" i="59" s="1"/>
  <c r="L78" i="59"/>
  <c r="K78" i="59" s="1"/>
  <c r="M78" i="59" s="1"/>
  <c r="Q78" i="59" s="1"/>
  <c r="L69" i="59"/>
  <c r="K69" i="59" s="1"/>
  <c r="M69" i="59" s="1"/>
  <c r="L136" i="59"/>
  <c r="K136" i="59" s="1"/>
  <c r="M136" i="59" s="1"/>
  <c r="L88" i="59"/>
  <c r="K88" i="59" s="1"/>
  <c r="M88" i="59" s="1"/>
  <c r="O88" i="59" s="1"/>
  <c r="L80" i="59"/>
  <c r="K80" i="59" s="1"/>
  <c r="M80" i="59" s="1"/>
  <c r="Q80" i="59" s="1"/>
  <c r="L131" i="59"/>
  <c r="K131" i="59" s="1"/>
  <c r="M131" i="59" s="1"/>
  <c r="L82" i="59"/>
  <c r="K82" i="59" s="1"/>
  <c r="M82" i="59" s="1"/>
  <c r="L74" i="59"/>
  <c r="K74" i="59" s="1"/>
  <c r="M74" i="59" s="1"/>
  <c r="R74" i="59" s="1"/>
  <c r="L16" i="59"/>
  <c r="K16" i="59" s="1"/>
  <c r="M16" i="59" s="1"/>
  <c r="L12" i="59"/>
  <c r="K12" i="59" s="1"/>
  <c r="M12" i="59" s="1"/>
  <c r="Q12" i="59" s="1"/>
  <c r="L10" i="59"/>
  <c r="K10" i="59" s="1"/>
  <c r="M10" i="59" s="1"/>
  <c r="Q10" i="59" s="1"/>
  <c r="L28" i="59"/>
  <c r="K28" i="59" s="1"/>
  <c r="M28" i="59" s="1"/>
  <c r="Q28" i="59" s="1"/>
  <c r="L9" i="59"/>
  <c r="K9" i="59" s="1"/>
  <c r="M9" i="59" s="1"/>
  <c r="R9" i="59" s="1"/>
  <c r="L133" i="59"/>
  <c r="K133" i="59" s="1"/>
  <c r="M133" i="59" s="1"/>
  <c r="L61" i="59"/>
  <c r="K61" i="59" s="1"/>
  <c r="M61" i="59" s="1"/>
  <c r="L57" i="59"/>
  <c r="K57" i="59" s="1"/>
  <c r="M57" i="59" s="1"/>
  <c r="L40" i="59"/>
  <c r="K40" i="59" s="1"/>
  <c r="M40" i="59" s="1"/>
  <c r="R40" i="59" s="1"/>
  <c r="L32" i="59"/>
  <c r="K32" i="59" s="1"/>
  <c r="M32" i="59" s="1"/>
  <c r="O32" i="59" s="1"/>
  <c r="L24" i="59"/>
  <c r="K24" i="59" s="1"/>
  <c r="M24" i="59" s="1"/>
  <c r="L22" i="59"/>
  <c r="K22" i="59" s="1"/>
  <c r="M22" i="59" s="1"/>
  <c r="R22" i="59" s="1"/>
  <c r="L112" i="59"/>
  <c r="K112" i="59" s="1"/>
  <c r="M112" i="59" s="1"/>
  <c r="O112" i="59" s="1"/>
  <c r="L36" i="59"/>
  <c r="K36" i="59" s="1"/>
  <c r="M36" i="59" s="1"/>
  <c r="Q36" i="59" s="1"/>
  <c r="L110" i="59"/>
  <c r="K110" i="59" s="1"/>
  <c r="M110" i="59" s="1"/>
  <c r="L11" i="59"/>
  <c r="K11" i="59" s="1"/>
  <c r="M11" i="59" s="1"/>
  <c r="R11" i="59" s="1"/>
  <c r="L64" i="59"/>
  <c r="K64" i="59" s="1"/>
  <c r="M64" i="59" s="1"/>
  <c r="O64" i="59" s="1"/>
  <c r="L59" i="59"/>
  <c r="K59" i="59" s="1"/>
  <c r="M59" i="59" s="1"/>
  <c r="L42" i="59"/>
  <c r="K42" i="59" s="1"/>
  <c r="M42" i="59" s="1"/>
  <c r="Q42" i="59" s="1"/>
  <c r="H17" i="57"/>
  <c r="H17" i="58"/>
  <c r="H9" i="58"/>
  <c r="H8" i="58"/>
  <c r="H7" i="58"/>
  <c r="H6" i="58"/>
  <c r="H5" i="58"/>
  <c r="H4" i="58"/>
  <c r="H10" i="58"/>
  <c r="H9" i="57"/>
  <c r="H8" i="57"/>
  <c r="H7" i="57"/>
  <c r="H6" i="57"/>
  <c r="H5" i="57"/>
  <c r="H4" i="57"/>
  <c r="BH48" i="15"/>
  <c r="BH47" i="15"/>
  <c r="BH46" i="15"/>
  <c r="BH13" i="15"/>
  <c r="BH12" i="15"/>
  <c r="BE48" i="15"/>
  <c r="BE47" i="15"/>
  <c r="BE46" i="15"/>
  <c r="BE13" i="15"/>
  <c r="BE12" i="15"/>
  <c r="L482" i="59"/>
  <c r="K482" i="59" s="1"/>
  <c r="M482" i="59" s="1"/>
  <c r="L481" i="59"/>
  <c r="K481" i="59" s="1"/>
  <c r="M481" i="59" s="1"/>
  <c r="L480" i="59"/>
  <c r="K480" i="59" s="1"/>
  <c r="M480" i="59" s="1"/>
  <c r="L520" i="59"/>
  <c r="K520" i="59" s="1"/>
  <c r="M520" i="59" s="1"/>
  <c r="L519" i="59"/>
  <c r="K519" i="59" s="1"/>
  <c r="M519" i="59" s="1"/>
  <c r="L518" i="59"/>
  <c r="K518" i="59"/>
  <c r="M518" i="59" s="1"/>
  <c r="R518" i="59" s="1"/>
  <c r="L517" i="59"/>
  <c r="K517" i="59" s="1"/>
  <c r="M517" i="59" s="1"/>
  <c r="L516" i="59"/>
  <c r="K516" i="59" s="1"/>
  <c r="M516" i="59" s="1"/>
  <c r="L509" i="59"/>
  <c r="K509" i="59" s="1"/>
  <c r="M509" i="59" s="1"/>
  <c r="L478" i="59"/>
  <c r="K478" i="59" s="1"/>
  <c r="M478" i="59" s="1"/>
  <c r="L508" i="59"/>
  <c r="K508" i="59" s="1"/>
  <c r="M508" i="59" s="1"/>
  <c r="L507" i="59"/>
  <c r="K507" i="59" s="1"/>
  <c r="M507" i="59" s="1"/>
  <c r="L506" i="59"/>
  <c r="K506" i="59"/>
  <c r="M506" i="59" s="1"/>
  <c r="L505" i="59"/>
  <c r="K505" i="59" s="1"/>
  <c r="M505" i="59" s="1"/>
  <c r="L504" i="59"/>
  <c r="K504" i="59" s="1"/>
  <c r="M504" i="59" s="1"/>
  <c r="L503" i="59"/>
  <c r="K503" i="59" s="1"/>
  <c r="M503" i="59" s="1"/>
  <c r="L502" i="59"/>
  <c r="K502" i="59" s="1"/>
  <c r="M502" i="59" s="1"/>
  <c r="L501" i="59"/>
  <c r="K501" i="59" s="1"/>
  <c r="M501" i="59" s="1"/>
  <c r="L500" i="59"/>
  <c r="K500" i="59" s="1"/>
  <c r="M500" i="59" s="1"/>
  <c r="L499" i="59"/>
  <c r="K499" i="59" s="1"/>
  <c r="M499" i="59" s="1"/>
  <c r="L498" i="59"/>
  <c r="K498" i="59" s="1"/>
  <c r="M498" i="59" s="1"/>
  <c r="L497" i="59"/>
  <c r="K497" i="59"/>
  <c r="M497" i="59" s="1"/>
  <c r="Q497" i="59" s="1"/>
  <c r="L496" i="59"/>
  <c r="K496" i="59" s="1"/>
  <c r="M496" i="59" s="1"/>
  <c r="L495" i="59"/>
  <c r="K495" i="59" s="1"/>
  <c r="M495" i="59" s="1"/>
  <c r="L494" i="59"/>
  <c r="K494" i="59" s="1"/>
  <c r="M494" i="59" s="1"/>
  <c r="L493" i="59"/>
  <c r="K493" i="59" s="1"/>
  <c r="M493" i="59" s="1"/>
  <c r="L492" i="59"/>
  <c r="K492" i="59" s="1"/>
  <c r="M492" i="59" s="1"/>
  <c r="L491" i="59"/>
  <c r="K491" i="59" s="1"/>
  <c r="M491" i="59" s="1"/>
  <c r="L489" i="59"/>
  <c r="K489" i="59" s="1"/>
  <c r="M489" i="59" s="1"/>
  <c r="L488" i="59"/>
  <c r="K488" i="59" s="1"/>
  <c r="M488" i="59" s="1"/>
  <c r="L153" i="59"/>
  <c r="K153" i="59"/>
  <c r="M153" i="59" s="1"/>
  <c r="L278" i="59"/>
  <c r="K278" i="59" s="1"/>
  <c r="M278" i="59" s="1"/>
  <c r="L56" i="59"/>
  <c r="K56" i="59" s="1"/>
  <c r="M56" i="59" s="1"/>
  <c r="L51" i="59"/>
  <c r="K51" i="59" s="1"/>
  <c r="M51" i="59" s="1"/>
  <c r="L48" i="59"/>
  <c r="K48" i="59" s="1"/>
  <c r="M48" i="59" s="1"/>
  <c r="L170" i="59"/>
  <c r="K170" i="59" s="1"/>
  <c r="M170" i="59" s="1"/>
  <c r="L155" i="59"/>
  <c r="K155" i="59" s="1"/>
  <c r="M155" i="59" s="1"/>
  <c r="L128" i="59"/>
  <c r="K128" i="59" s="1"/>
  <c r="M128" i="59" s="1"/>
  <c r="R128" i="59" s="1"/>
  <c r="L126" i="59"/>
  <c r="K126" i="59" s="1"/>
  <c r="M126" i="59" s="1"/>
  <c r="O126" i="59" s="1"/>
  <c r="L115" i="59"/>
  <c r="K115" i="59" s="1"/>
  <c r="M115" i="59" s="1"/>
  <c r="L158" i="59"/>
  <c r="K158" i="59" s="1"/>
  <c r="M158" i="59" s="1"/>
  <c r="L97" i="59"/>
  <c r="K97" i="59" s="1"/>
  <c r="M97" i="59" s="1"/>
  <c r="L125" i="59"/>
  <c r="K125" i="59" s="1"/>
  <c r="M125" i="59" s="1"/>
  <c r="L53" i="59"/>
  <c r="K53" i="59" s="1"/>
  <c r="M53" i="59" s="1"/>
  <c r="L174" i="59"/>
  <c r="K174" i="59" s="1"/>
  <c r="M174" i="59" s="1"/>
  <c r="L50" i="59"/>
  <c r="K50" i="59" s="1"/>
  <c r="M50" i="59" s="1"/>
  <c r="O50" i="59" s="1"/>
  <c r="H10" i="57"/>
  <c r="H15" i="57"/>
  <c r="H13" i="57"/>
  <c r="H16" i="57"/>
  <c r="H16" i="58"/>
  <c r="H12" i="58"/>
  <c r="H15" i="58"/>
  <c r="H11" i="58"/>
  <c r="H14" i="58"/>
  <c r="H13" i="58"/>
  <c r="H19" i="58"/>
  <c r="E63" i="13"/>
  <c r="F63" i="13"/>
  <c r="H9" i="56"/>
  <c r="H8" i="56"/>
  <c r="H7" i="56"/>
  <c r="H6" i="56"/>
  <c r="H5" i="56"/>
  <c r="H4" i="56"/>
  <c r="H9" i="55"/>
  <c r="H8" i="55"/>
  <c r="H7" i="55"/>
  <c r="H6" i="55"/>
  <c r="H5" i="55"/>
  <c r="H4" i="55"/>
  <c r="AP48" i="15"/>
  <c r="AP47" i="15"/>
  <c r="AP46" i="15"/>
  <c r="AP13" i="15"/>
  <c r="AP12" i="15"/>
  <c r="AS48" i="15"/>
  <c r="AS47" i="15"/>
  <c r="AS46" i="15"/>
  <c r="AS13" i="15"/>
  <c r="AS12" i="15"/>
  <c r="AV48" i="15"/>
  <c r="AV47" i="15"/>
  <c r="AV46" i="15"/>
  <c r="AV13" i="15"/>
  <c r="AV12" i="15"/>
  <c r="AY48" i="15"/>
  <c r="AY47" i="15"/>
  <c r="AY46" i="15"/>
  <c r="AY13" i="15"/>
  <c r="AY12" i="15"/>
  <c r="BB48" i="15"/>
  <c r="BB47" i="15"/>
  <c r="BB46" i="15"/>
  <c r="BB13" i="15"/>
  <c r="BB12" i="15"/>
  <c r="AM48" i="15"/>
  <c r="AM47" i="15"/>
  <c r="AM46" i="15"/>
  <c r="AM13" i="15"/>
  <c r="AM12" i="15"/>
  <c r="H4" i="51"/>
  <c r="H9" i="54"/>
  <c r="H8" i="54"/>
  <c r="H7" i="54"/>
  <c r="H6" i="54"/>
  <c r="H5" i="54"/>
  <c r="H4" i="54"/>
  <c r="H9" i="53"/>
  <c r="H8" i="53"/>
  <c r="H7" i="53"/>
  <c r="H6" i="53"/>
  <c r="H5" i="53"/>
  <c r="H4" i="53"/>
  <c r="H9" i="52"/>
  <c r="H8" i="52"/>
  <c r="H7" i="52"/>
  <c r="H6" i="52"/>
  <c r="H5" i="52"/>
  <c r="H4" i="52"/>
  <c r="H9" i="51"/>
  <c r="H8" i="51"/>
  <c r="H7" i="51"/>
  <c r="H6" i="51"/>
  <c r="H5" i="51"/>
  <c r="H10" i="51"/>
  <c r="H14" i="57"/>
  <c r="H12" i="57"/>
  <c r="H11" i="57"/>
  <c r="H10" i="54"/>
  <c r="H13" i="54"/>
  <c r="H10" i="52"/>
  <c r="H10" i="55"/>
  <c r="H15" i="55"/>
  <c r="H10" i="56"/>
  <c r="H12" i="56"/>
  <c r="H16" i="56"/>
  <c r="H10" i="53"/>
  <c r="H11" i="53"/>
  <c r="H14" i="51"/>
  <c r="H13" i="51"/>
  <c r="H15" i="51"/>
  <c r="H11" i="51"/>
  <c r="H16" i="51"/>
  <c r="H12" i="51"/>
  <c r="H15" i="54"/>
  <c r="H11" i="54"/>
  <c r="H14" i="54"/>
  <c r="H15" i="52"/>
  <c r="H11" i="52"/>
  <c r="H14" i="52"/>
  <c r="H13" i="52"/>
  <c r="H16" i="52"/>
  <c r="H12" i="52"/>
  <c r="H12" i="53"/>
  <c r="H15" i="53"/>
  <c r="H13" i="53"/>
  <c r="H11" i="56"/>
  <c r="H12" i="54"/>
  <c r="H16" i="54"/>
  <c r="H19" i="57"/>
  <c r="E57" i="13"/>
  <c r="F57" i="13"/>
  <c r="H12" i="55"/>
  <c r="H14" i="53"/>
  <c r="H16" i="53"/>
  <c r="H14" i="56"/>
  <c r="H16" i="55"/>
  <c r="H11" i="55"/>
  <c r="H15" i="56"/>
  <c r="H13" i="55"/>
  <c r="H13" i="56"/>
  <c r="H14" i="55"/>
  <c r="H27" i="41"/>
  <c r="H26" i="41"/>
  <c r="H25" i="41"/>
  <c r="H24" i="41"/>
  <c r="H23" i="41"/>
  <c r="M53" i="11"/>
  <c r="F23" i="23"/>
  <c r="F25" i="23"/>
  <c r="H22" i="41"/>
  <c r="H21" i="41"/>
  <c r="H29" i="18"/>
  <c r="H37" i="23"/>
  <c r="H37" i="24"/>
  <c r="J53" i="11"/>
  <c r="P68" i="8"/>
  <c r="M68" i="8"/>
  <c r="J68" i="8"/>
  <c r="P74" i="9"/>
  <c r="M74" i="9"/>
  <c r="J74" i="9"/>
  <c r="AG10" i="15"/>
  <c r="H10" i="15"/>
  <c r="G11" i="15"/>
  <c r="G10" i="15"/>
  <c r="N56" i="11"/>
  <c r="K56" i="11"/>
  <c r="H56" i="11"/>
  <c r="BI10" i="15"/>
  <c r="BF10" i="15"/>
  <c r="AQ10" i="15"/>
  <c r="AT10" i="15"/>
  <c r="AW10" i="15"/>
  <c r="AZ10" i="15"/>
  <c r="BC10" i="15"/>
  <c r="AN10" i="15"/>
  <c r="BH10" i="15"/>
  <c r="BE10" i="15"/>
  <c r="AP10" i="15"/>
  <c r="AS10" i="15"/>
  <c r="AV10" i="15"/>
  <c r="BB10" i="15"/>
  <c r="AM10" i="15"/>
  <c r="AY10" i="15"/>
  <c r="BE11" i="15"/>
  <c r="BH11" i="15"/>
  <c r="AY11" i="15"/>
  <c r="AP11" i="15"/>
  <c r="AS11" i="15"/>
  <c r="AM11" i="15"/>
  <c r="BB11" i="15"/>
  <c r="AV11" i="15"/>
  <c r="H11" i="15"/>
  <c r="O70" i="11"/>
  <c r="O69" i="11"/>
  <c r="O68" i="11"/>
  <c r="O67" i="11"/>
  <c r="O66" i="11"/>
  <c r="K62" i="11"/>
  <c r="O65" i="11"/>
  <c r="O64" i="11"/>
  <c r="K72" i="11"/>
  <c r="M77" i="11"/>
  <c r="L77" i="11"/>
  <c r="M76" i="11"/>
  <c r="L76" i="11"/>
  <c r="M75" i="11"/>
  <c r="L75" i="11"/>
  <c r="K74" i="11"/>
  <c r="M74" i="11"/>
  <c r="L74" i="11"/>
  <c r="K73" i="11"/>
  <c r="M72" i="11"/>
  <c r="K71" i="11"/>
  <c r="K69" i="11"/>
  <c r="L22" i="44"/>
  <c r="K22" i="44"/>
  <c r="L21" i="44"/>
  <c r="K21" i="44"/>
  <c r="L20" i="44"/>
  <c r="K20" i="44"/>
  <c r="L19" i="44"/>
  <c r="K19" i="44"/>
  <c r="L18" i="44"/>
  <c r="K18" i="44"/>
  <c r="L17" i="44"/>
  <c r="K17" i="44"/>
  <c r="L16" i="44"/>
  <c r="K16" i="44"/>
  <c r="L15" i="44"/>
  <c r="K15" i="44"/>
  <c r="L14" i="44"/>
  <c r="K14" i="44"/>
  <c r="L13" i="44"/>
  <c r="K13" i="44"/>
  <c r="L12" i="44"/>
  <c r="K12" i="44"/>
  <c r="L11" i="44"/>
  <c r="K11" i="44"/>
  <c r="L10" i="44"/>
  <c r="K10" i="44"/>
  <c r="L9" i="44"/>
  <c r="K9" i="44"/>
  <c r="L8" i="44"/>
  <c r="K8" i="44"/>
  <c r="L7" i="44"/>
  <c r="K7" i="44"/>
  <c r="L6" i="44"/>
  <c r="K6" i="44"/>
  <c r="AJ48" i="15"/>
  <c r="AJ47" i="15"/>
  <c r="AJ46" i="15"/>
  <c r="AJ13" i="15"/>
  <c r="AJ12" i="15"/>
  <c r="AK11" i="15"/>
  <c r="AJ11" i="15"/>
  <c r="AK10" i="15"/>
  <c r="AJ10" i="15"/>
  <c r="AG48" i="15"/>
  <c r="AG47" i="15"/>
  <c r="AG46" i="15"/>
  <c r="AG13" i="15"/>
  <c r="AG12" i="15"/>
  <c r="AH11" i="15"/>
  <c r="AG11" i="15"/>
  <c r="AH10" i="15"/>
  <c r="AD48" i="15"/>
  <c r="AD47" i="15"/>
  <c r="AD46" i="15"/>
  <c r="AD13" i="15"/>
  <c r="AD12" i="15"/>
  <c r="AE11" i="15"/>
  <c r="AD11" i="15"/>
  <c r="AE10" i="15"/>
  <c r="AD10" i="15"/>
  <c r="AA48" i="15"/>
  <c r="AA47" i="15"/>
  <c r="AA46" i="15"/>
  <c r="AA13" i="15"/>
  <c r="AA12" i="15"/>
  <c r="AB11" i="15"/>
  <c r="AA11" i="15"/>
  <c r="AB10" i="15"/>
  <c r="AA10" i="15"/>
  <c r="X48" i="15"/>
  <c r="X47" i="15"/>
  <c r="X46" i="15"/>
  <c r="X13" i="15"/>
  <c r="X12" i="15"/>
  <c r="Y11" i="15"/>
  <c r="X11" i="15"/>
  <c r="Y10" i="15"/>
  <c r="X10" i="15"/>
  <c r="U48" i="15"/>
  <c r="U47" i="15"/>
  <c r="U46" i="15"/>
  <c r="U13" i="15"/>
  <c r="U12" i="15"/>
  <c r="V11" i="15"/>
  <c r="U11" i="15"/>
  <c r="V10" i="15"/>
  <c r="U10" i="15"/>
  <c r="R48" i="15"/>
  <c r="R47" i="15"/>
  <c r="R46" i="15"/>
  <c r="R13" i="15"/>
  <c r="R12" i="15"/>
  <c r="S11" i="15"/>
  <c r="R11" i="15"/>
  <c r="S10" i="15"/>
  <c r="R10" i="15"/>
  <c r="O48" i="15"/>
  <c r="O47" i="15"/>
  <c r="O46" i="15"/>
  <c r="O13" i="15"/>
  <c r="O12" i="15"/>
  <c r="P11" i="15"/>
  <c r="O11" i="15"/>
  <c r="P10" i="15"/>
  <c r="O10" i="15"/>
  <c r="U40" i="32"/>
  <c r="T40" i="32"/>
  <c r="U39" i="32"/>
  <c r="T39" i="32"/>
  <c r="U38" i="32"/>
  <c r="T38" i="32"/>
  <c r="U37" i="32"/>
  <c r="T37" i="32"/>
  <c r="U36" i="32"/>
  <c r="T36" i="32"/>
  <c r="U35" i="32"/>
  <c r="T35" i="32"/>
  <c r="U34" i="32"/>
  <c r="T34" i="32"/>
  <c r="U33" i="32"/>
  <c r="T33" i="32"/>
  <c r="U32" i="32"/>
  <c r="T32" i="32"/>
  <c r="U31" i="32"/>
  <c r="T31" i="32"/>
  <c r="U30" i="32"/>
  <c r="T30" i="32"/>
  <c r="U29" i="32"/>
  <c r="T29" i="32"/>
  <c r="U28" i="32"/>
  <c r="T28" i="32"/>
  <c r="U27" i="32"/>
  <c r="T27" i="32"/>
  <c r="U26" i="32"/>
  <c r="T26" i="32"/>
  <c r="U25" i="32"/>
  <c r="T25" i="32"/>
  <c r="U24" i="32"/>
  <c r="T24" i="32"/>
  <c r="U23" i="32"/>
  <c r="T23" i="32"/>
  <c r="U22" i="32"/>
  <c r="T22" i="32"/>
  <c r="U21" i="32"/>
  <c r="T21" i="32"/>
  <c r="U20" i="32"/>
  <c r="T20" i="32"/>
  <c r="U19" i="32"/>
  <c r="T19" i="32"/>
  <c r="U18" i="32"/>
  <c r="T18" i="32"/>
  <c r="U17" i="32"/>
  <c r="T17" i="32"/>
  <c r="U16" i="32"/>
  <c r="T16" i="32"/>
  <c r="U15" i="32"/>
  <c r="T15" i="32"/>
  <c r="U14" i="32"/>
  <c r="T14" i="32"/>
  <c r="U13" i="32"/>
  <c r="T13" i="32"/>
  <c r="U12" i="32"/>
  <c r="T12" i="32"/>
  <c r="U11" i="32"/>
  <c r="T11" i="32"/>
  <c r="U10" i="32"/>
  <c r="T10" i="32"/>
  <c r="U9" i="32"/>
  <c r="T9" i="32"/>
  <c r="U8" i="32"/>
  <c r="T8" i="32"/>
  <c r="U7" i="32"/>
  <c r="T7" i="32"/>
  <c r="U6" i="32"/>
  <c r="U41" i="32"/>
  <c r="T6" i="32"/>
  <c r="R40" i="32"/>
  <c r="Q40" i="32"/>
  <c r="R39" i="32"/>
  <c r="Q39" i="32"/>
  <c r="R38" i="32"/>
  <c r="Q38" i="32"/>
  <c r="R37" i="32"/>
  <c r="Q37" i="32"/>
  <c r="R36" i="32"/>
  <c r="Q36" i="32"/>
  <c r="R35" i="32"/>
  <c r="Q35" i="32"/>
  <c r="R34" i="32"/>
  <c r="Q34" i="32"/>
  <c r="R33" i="32"/>
  <c r="Q33" i="32"/>
  <c r="R32" i="32"/>
  <c r="Q32" i="32"/>
  <c r="R31" i="32"/>
  <c r="Q31" i="32"/>
  <c r="R30" i="32"/>
  <c r="Q30" i="32"/>
  <c r="R29" i="32"/>
  <c r="Q29" i="32"/>
  <c r="R28" i="32"/>
  <c r="Q28" i="32"/>
  <c r="R27" i="32"/>
  <c r="Q27" i="32"/>
  <c r="R26" i="32"/>
  <c r="Q26" i="32"/>
  <c r="R25" i="32"/>
  <c r="Q25" i="32"/>
  <c r="R24" i="32"/>
  <c r="Q24" i="32"/>
  <c r="R23" i="32"/>
  <c r="Q23" i="32"/>
  <c r="R22" i="32"/>
  <c r="Q22" i="32"/>
  <c r="R21" i="32"/>
  <c r="Q21" i="32"/>
  <c r="R20" i="32"/>
  <c r="Q20" i="32"/>
  <c r="R19" i="32"/>
  <c r="Q19" i="32"/>
  <c r="R18" i="32"/>
  <c r="Q18" i="32"/>
  <c r="R17" i="32"/>
  <c r="Q17" i="32"/>
  <c r="R16" i="32"/>
  <c r="Q16" i="32"/>
  <c r="R15" i="32"/>
  <c r="Q15" i="32"/>
  <c r="R14" i="32"/>
  <c r="Q14" i="32"/>
  <c r="R13" i="32"/>
  <c r="Q13" i="32"/>
  <c r="R12" i="32"/>
  <c r="Q12" i="32"/>
  <c r="R11" i="32"/>
  <c r="Q11" i="32"/>
  <c r="R10" i="32"/>
  <c r="Q10" i="32"/>
  <c r="R9" i="32"/>
  <c r="Q9" i="32"/>
  <c r="R8" i="32"/>
  <c r="Q8" i="32"/>
  <c r="R7" i="32"/>
  <c r="Q7" i="32"/>
  <c r="R6" i="32"/>
  <c r="R41" i="32"/>
  <c r="Q6" i="32"/>
  <c r="Q41" i="32"/>
  <c r="O40" i="32"/>
  <c r="N40" i="32"/>
  <c r="O39" i="32"/>
  <c r="N39" i="32"/>
  <c r="O38" i="32"/>
  <c r="N38" i="32"/>
  <c r="O37" i="32"/>
  <c r="N37" i="32"/>
  <c r="O36" i="32"/>
  <c r="N36" i="32"/>
  <c r="O35" i="32"/>
  <c r="N35" i="32"/>
  <c r="O34" i="32"/>
  <c r="N34" i="32"/>
  <c r="O33" i="32"/>
  <c r="N33" i="32"/>
  <c r="O32" i="32"/>
  <c r="N32" i="32"/>
  <c r="O31" i="32"/>
  <c r="N31" i="32"/>
  <c r="O30" i="32"/>
  <c r="N30" i="32"/>
  <c r="O29" i="32"/>
  <c r="N29" i="32"/>
  <c r="O28" i="32"/>
  <c r="N28" i="32"/>
  <c r="O27" i="32"/>
  <c r="N27" i="32"/>
  <c r="O26" i="32"/>
  <c r="N26" i="32"/>
  <c r="O25" i="32"/>
  <c r="N25" i="32"/>
  <c r="O24" i="32"/>
  <c r="N24" i="32"/>
  <c r="O23" i="32"/>
  <c r="N23" i="32"/>
  <c r="O22" i="32"/>
  <c r="N22" i="32"/>
  <c r="O21" i="32"/>
  <c r="N21" i="32"/>
  <c r="O20" i="32"/>
  <c r="N20" i="32"/>
  <c r="O19" i="32"/>
  <c r="N19" i="32"/>
  <c r="O18" i="32"/>
  <c r="N18" i="32"/>
  <c r="O17" i="32"/>
  <c r="N17" i="32"/>
  <c r="O16" i="32"/>
  <c r="N16" i="32"/>
  <c r="O15" i="32"/>
  <c r="N15" i="32"/>
  <c r="O14" i="32"/>
  <c r="N14" i="32"/>
  <c r="O13" i="32"/>
  <c r="N13" i="32"/>
  <c r="O12" i="32"/>
  <c r="N12" i="32"/>
  <c r="O11" i="32"/>
  <c r="N11" i="32"/>
  <c r="O10" i="32"/>
  <c r="N10" i="32"/>
  <c r="O9" i="32"/>
  <c r="N9" i="32"/>
  <c r="O8" i="32"/>
  <c r="N8" i="32"/>
  <c r="O7" i="32"/>
  <c r="N7" i="32"/>
  <c r="O6" i="32"/>
  <c r="O41" i="32"/>
  <c r="N6" i="32"/>
  <c r="L40" i="32"/>
  <c r="K40" i="32"/>
  <c r="L39" i="32"/>
  <c r="K39" i="32"/>
  <c r="L38" i="32"/>
  <c r="K38" i="32"/>
  <c r="L37" i="32"/>
  <c r="K37" i="32"/>
  <c r="L36" i="32"/>
  <c r="K36" i="32"/>
  <c r="L35" i="32"/>
  <c r="K35" i="32"/>
  <c r="L34" i="32"/>
  <c r="K34" i="32"/>
  <c r="L33" i="32"/>
  <c r="K33" i="32"/>
  <c r="L32" i="32"/>
  <c r="K32" i="32"/>
  <c r="L31" i="32"/>
  <c r="K31" i="32"/>
  <c r="L30" i="32"/>
  <c r="K30" i="32"/>
  <c r="L29" i="32"/>
  <c r="K29" i="32"/>
  <c r="L28" i="32"/>
  <c r="K28" i="32"/>
  <c r="L27" i="32"/>
  <c r="K27" i="32"/>
  <c r="L26" i="32"/>
  <c r="L41" i="32"/>
  <c r="K26" i="32"/>
  <c r="L25" i="32"/>
  <c r="K25" i="32"/>
  <c r="K41" i="32"/>
  <c r="L24" i="32"/>
  <c r="K24" i="32"/>
  <c r="L23" i="32"/>
  <c r="K23" i="32"/>
  <c r="L22" i="32"/>
  <c r="K22" i="32"/>
  <c r="L21" i="32"/>
  <c r="K21" i="32"/>
  <c r="L20" i="32"/>
  <c r="K20" i="32"/>
  <c r="L19" i="32"/>
  <c r="K19" i="32"/>
  <c r="L18" i="32"/>
  <c r="K18" i="32"/>
  <c r="L17" i="32"/>
  <c r="K17" i="32"/>
  <c r="L16" i="32"/>
  <c r="K16" i="32"/>
  <c r="L15" i="32"/>
  <c r="K15" i="32"/>
  <c r="L14" i="32"/>
  <c r="K14" i="32"/>
  <c r="L13" i="32"/>
  <c r="K13" i="32"/>
  <c r="L12" i="32"/>
  <c r="K12" i="32"/>
  <c r="L11" i="32"/>
  <c r="K11" i="32"/>
  <c r="L10" i="32"/>
  <c r="K10" i="32"/>
  <c r="L9" i="32"/>
  <c r="K9" i="32"/>
  <c r="L8" i="32"/>
  <c r="K8" i="32"/>
  <c r="L7" i="32"/>
  <c r="K7" i="32"/>
  <c r="L6" i="32"/>
  <c r="K6" i="32"/>
  <c r="O38" i="7"/>
  <c r="N38" i="7"/>
  <c r="O37" i="7"/>
  <c r="N37" i="7"/>
  <c r="O36" i="7"/>
  <c r="N36" i="7"/>
  <c r="O35" i="7"/>
  <c r="N35" i="7"/>
  <c r="O34" i="7"/>
  <c r="N34" i="7"/>
  <c r="O33" i="7"/>
  <c r="N33" i="7"/>
  <c r="O32" i="7"/>
  <c r="N32" i="7"/>
  <c r="O31" i="7"/>
  <c r="N31" i="7"/>
  <c r="O30" i="7"/>
  <c r="N30" i="7"/>
  <c r="O29" i="7"/>
  <c r="N29" i="7"/>
  <c r="O28" i="7"/>
  <c r="N28" i="7"/>
  <c r="O27" i="7"/>
  <c r="N27" i="7"/>
  <c r="O26" i="7"/>
  <c r="N26" i="7"/>
  <c r="O25" i="7"/>
  <c r="N25" i="7"/>
  <c r="O24" i="7"/>
  <c r="N24" i="7"/>
  <c r="O23" i="7"/>
  <c r="N23" i="7"/>
  <c r="O22" i="7"/>
  <c r="N22" i="7"/>
  <c r="O21" i="7"/>
  <c r="N21" i="7"/>
  <c r="O20" i="7"/>
  <c r="N20" i="7"/>
  <c r="O19" i="7"/>
  <c r="N19" i="7"/>
  <c r="O18" i="7"/>
  <c r="N18" i="7"/>
  <c r="O17" i="7"/>
  <c r="N17" i="7"/>
  <c r="O16" i="7"/>
  <c r="N16" i="7"/>
  <c r="O15" i="7"/>
  <c r="N15" i="7"/>
  <c r="O14" i="7"/>
  <c r="N14" i="7"/>
  <c r="O13" i="7"/>
  <c r="N13" i="7"/>
  <c r="O12" i="7"/>
  <c r="N12" i="7"/>
  <c r="O11" i="7"/>
  <c r="N11" i="7"/>
  <c r="O10" i="7"/>
  <c r="N10" i="7"/>
  <c r="O9" i="7"/>
  <c r="N9" i="7"/>
  <c r="O8" i="7"/>
  <c r="N8" i="7"/>
  <c r="O7" i="7"/>
  <c r="N7" i="7"/>
  <c r="O6" i="7"/>
  <c r="O39" i="7"/>
  <c r="N6" i="7"/>
  <c r="L38" i="7"/>
  <c r="K38" i="7"/>
  <c r="L37" i="7"/>
  <c r="K37" i="7"/>
  <c r="L36" i="7"/>
  <c r="K36" i="7"/>
  <c r="L35" i="7"/>
  <c r="K35" i="7"/>
  <c r="L34" i="7"/>
  <c r="K34" i="7"/>
  <c r="L33" i="7"/>
  <c r="K33" i="7"/>
  <c r="L32" i="7"/>
  <c r="K32" i="7"/>
  <c r="L31" i="7"/>
  <c r="K31" i="7"/>
  <c r="L30" i="7"/>
  <c r="K30" i="7"/>
  <c r="L29" i="7"/>
  <c r="L39" i="7"/>
  <c r="K29" i="7"/>
  <c r="K39" i="7"/>
  <c r="L28" i="7"/>
  <c r="K28" i="7"/>
  <c r="L27" i="7"/>
  <c r="K27" i="7"/>
  <c r="L26" i="7"/>
  <c r="K26" i="7"/>
  <c r="L25" i="7"/>
  <c r="K25" i="7"/>
  <c r="L24" i="7"/>
  <c r="K24" i="7"/>
  <c r="L23" i="7"/>
  <c r="K23" i="7"/>
  <c r="L22" i="7"/>
  <c r="K22" i="7"/>
  <c r="L21" i="7"/>
  <c r="K21" i="7"/>
  <c r="L20" i="7"/>
  <c r="K20" i="7"/>
  <c r="L19" i="7"/>
  <c r="K19" i="7"/>
  <c r="L18" i="7"/>
  <c r="K18" i="7"/>
  <c r="L17" i="7"/>
  <c r="K17" i="7"/>
  <c r="L16" i="7"/>
  <c r="K16" i="7"/>
  <c r="L15" i="7"/>
  <c r="K15" i="7"/>
  <c r="L14" i="7"/>
  <c r="K14" i="7"/>
  <c r="L13" i="7"/>
  <c r="K13" i="7"/>
  <c r="L12" i="7"/>
  <c r="K12" i="7"/>
  <c r="L11" i="7"/>
  <c r="K11" i="7"/>
  <c r="L10" i="7"/>
  <c r="K10" i="7"/>
  <c r="L9" i="7"/>
  <c r="K9" i="7"/>
  <c r="L8" i="7"/>
  <c r="K8" i="7"/>
  <c r="L7" i="7"/>
  <c r="K7" i="7"/>
  <c r="L6" i="7"/>
  <c r="K6" i="7"/>
  <c r="AA28" i="10"/>
  <c r="Z28" i="10"/>
  <c r="AA27" i="10"/>
  <c r="Z27" i="10"/>
  <c r="AA26" i="10"/>
  <c r="Z26" i="10"/>
  <c r="AA25" i="10"/>
  <c r="Z25" i="10"/>
  <c r="AA24" i="10"/>
  <c r="Z24" i="10"/>
  <c r="AA23" i="10"/>
  <c r="Z23" i="10"/>
  <c r="AA22" i="10"/>
  <c r="Z22" i="10"/>
  <c r="AA21" i="10"/>
  <c r="Z21" i="10"/>
  <c r="AA20" i="10"/>
  <c r="Z20" i="10"/>
  <c r="AA19" i="10"/>
  <c r="Z19" i="10"/>
  <c r="AA18" i="10"/>
  <c r="Z18" i="10"/>
  <c r="AA17" i="10"/>
  <c r="Z17" i="10"/>
  <c r="AA16" i="10"/>
  <c r="Z16" i="10"/>
  <c r="AA15" i="10"/>
  <c r="Z15" i="10"/>
  <c r="AA14" i="10"/>
  <c r="Z14" i="10"/>
  <c r="AA13" i="10"/>
  <c r="Z13" i="10"/>
  <c r="AA12" i="10"/>
  <c r="Z12" i="10"/>
  <c r="AA11" i="10"/>
  <c r="Z11" i="10"/>
  <c r="AA10" i="10"/>
  <c r="Z10" i="10"/>
  <c r="AA9" i="10"/>
  <c r="Z9" i="10"/>
  <c r="AA8" i="10"/>
  <c r="Z8" i="10"/>
  <c r="AA7" i="10"/>
  <c r="Z7" i="10"/>
  <c r="AA6" i="10"/>
  <c r="Z6" i="10"/>
  <c r="X28" i="10"/>
  <c r="W28" i="10"/>
  <c r="X27" i="10"/>
  <c r="W27" i="10"/>
  <c r="X26" i="10"/>
  <c r="W26" i="10"/>
  <c r="X25" i="10"/>
  <c r="W25" i="10"/>
  <c r="X24" i="10"/>
  <c r="W24" i="10"/>
  <c r="X23" i="10"/>
  <c r="W23" i="10"/>
  <c r="X22" i="10"/>
  <c r="W22" i="10"/>
  <c r="X21" i="10"/>
  <c r="W21" i="10"/>
  <c r="X20" i="10"/>
  <c r="W20" i="10"/>
  <c r="X19" i="10"/>
  <c r="W19" i="10"/>
  <c r="X18" i="10"/>
  <c r="W18" i="10"/>
  <c r="X17" i="10"/>
  <c r="W17" i="10"/>
  <c r="X16" i="10"/>
  <c r="W16" i="10"/>
  <c r="X15" i="10"/>
  <c r="W15" i="10"/>
  <c r="X14" i="10"/>
  <c r="W14" i="10"/>
  <c r="X13" i="10"/>
  <c r="W13" i="10"/>
  <c r="X12" i="10"/>
  <c r="W12" i="10"/>
  <c r="X11" i="10"/>
  <c r="W11" i="10"/>
  <c r="X10" i="10"/>
  <c r="W10" i="10"/>
  <c r="X9" i="10"/>
  <c r="W9" i="10"/>
  <c r="X8" i="10"/>
  <c r="W8" i="10"/>
  <c r="X7" i="10"/>
  <c r="W7" i="10"/>
  <c r="X6" i="10"/>
  <c r="W6" i="10"/>
  <c r="W29" i="10"/>
  <c r="U28" i="10"/>
  <c r="T28" i="10"/>
  <c r="U27" i="10"/>
  <c r="T27" i="10"/>
  <c r="U26" i="10"/>
  <c r="T26" i="10"/>
  <c r="U25" i="10"/>
  <c r="T25" i="10"/>
  <c r="U24" i="10"/>
  <c r="T24" i="10"/>
  <c r="U23" i="10"/>
  <c r="T23" i="10"/>
  <c r="U22" i="10"/>
  <c r="T22" i="10"/>
  <c r="U21" i="10"/>
  <c r="T21" i="10"/>
  <c r="U20" i="10"/>
  <c r="T20" i="10"/>
  <c r="U19" i="10"/>
  <c r="T19" i="10"/>
  <c r="U18" i="10"/>
  <c r="T18" i="10"/>
  <c r="U17" i="10"/>
  <c r="T17" i="10"/>
  <c r="U16" i="10"/>
  <c r="T16" i="10"/>
  <c r="U15" i="10"/>
  <c r="T15" i="10"/>
  <c r="U14" i="10"/>
  <c r="T14" i="10"/>
  <c r="U13" i="10"/>
  <c r="T13" i="10"/>
  <c r="U12" i="10"/>
  <c r="T12" i="10"/>
  <c r="U11" i="10"/>
  <c r="T11" i="10"/>
  <c r="U10" i="10"/>
  <c r="T10" i="10"/>
  <c r="U9" i="10"/>
  <c r="T9" i="10"/>
  <c r="U8" i="10"/>
  <c r="T8" i="10"/>
  <c r="U7" i="10"/>
  <c r="T7" i="10"/>
  <c r="U6" i="10"/>
  <c r="T6" i="10"/>
  <c r="R28" i="10"/>
  <c r="Q28" i="10"/>
  <c r="R27" i="10"/>
  <c r="Q27" i="10"/>
  <c r="R26" i="10"/>
  <c r="Q26" i="10"/>
  <c r="R25" i="10"/>
  <c r="Q25" i="10"/>
  <c r="R24" i="10"/>
  <c r="Q24" i="10"/>
  <c r="R23" i="10"/>
  <c r="Q23" i="10"/>
  <c r="R22" i="10"/>
  <c r="Q22" i="10"/>
  <c r="R21" i="10"/>
  <c r="Q21" i="10"/>
  <c r="R20" i="10"/>
  <c r="Q20" i="10"/>
  <c r="R19" i="10"/>
  <c r="Q19" i="10"/>
  <c r="R18" i="10"/>
  <c r="Q18" i="10"/>
  <c r="R17" i="10"/>
  <c r="Q17" i="10"/>
  <c r="R16" i="10"/>
  <c r="Q16" i="10"/>
  <c r="R15" i="10"/>
  <c r="Q15" i="10"/>
  <c r="R14" i="10"/>
  <c r="Q14" i="10"/>
  <c r="R13" i="10"/>
  <c r="Q13" i="10"/>
  <c r="R12" i="10"/>
  <c r="Q12" i="10"/>
  <c r="R11" i="10"/>
  <c r="Q11" i="10"/>
  <c r="R10" i="10"/>
  <c r="Q10" i="10"/>
  <c r="R9" i="10"/>
  <c r="Q9" i="10"/>
  <c r="R8" i="10"/>
  <c r="Q8" i="10"/>
  <c r="R7" i="10"/>
  <c r="Q7" i="10"/>
  <c r="R6" i="10"/>
  <c r="R29" i="10"/>
  <c r="H57" i="11"/>
  <c r="Q6" i="10"/>
  <c r="O28" i="10"/>
  <c r="N28" i="10"/>
  <c r="O27" i="10"/>
  <c r="N27" i="10"/>
  <c r="O26" i="10"/>
  <c r="N26" i="10"/>
  <c r="O25" i="10"/>
  <c r="N25" i="10"/>
  <c r="O24" i="10"/>
  <c r="N24" i="10"/>
  <c r="O23" i="10"/>
  <c r="N23" i="10"/>
  <c r="O22" i="10"/>
  <c r="N22" i="10"/>
  <c r="O21" i="10"/>
  <c r="N21" i="10"/>
  <c r="O20" i="10"/>
  <c r="N20" i="10"/>
  <c r="O19" i="10"/>
  <c r="N19" i="10"/>
  <c r="O18" i="10"/>
  <c r="N18" i="10"/>
  <c r="O17" i="10"/>
  <c r="N17" i="10"/>
  <c r="O16" i="10"/>
  <c r="N16" i="10"/>
  <c r="O15" i="10"/>
  <c r="N15" i="10"/>
  <c r="O14" i="10"/>
  <c r="N14" i="10"/>
  <c r="O13" i="10"/>
  <c r="N13" i="10"/>
  <c r="O12" i="10"/>
  <c r="N12" i="10"/>
  <c r="O11" i="10"/>
  <c r="N11" i="10"/>
  <c r="O10" i="10"/>
  <c r="N10" i="10"/>
  <c r="O9" i="10"/>
  <c r="N9" i="10"/>
  <c r="O8" i="10"/>
  <c r="N8" i="10"/>
  <c r="O7" i="10"/>
  <c r="N7" i="10"/>
  <c r="O6" i="10"/>
  <c r="O29" i="10"/>
  <c r="N6" i="10"/>
  <c r="L28" i="10"/>
  <c r="K28" i="10"/>
  <c r="L27" i="10"/>
  <c r="K27" i="10"/>
  <c r="L26" i="10"/>
  <c r="K26" i="10"/>
  <c r="L25" i="10"/>
  <c r="K25" i="10"/>
  <c r="L24" i="10"/>
  <c r="K24" i="10"/>
  <c r="L23" i="10"/>
  <c r="K23" i="10"/>
  <c r="L22" i="10"/>
  <c r="K22" i="10"/>
  <c r="L21" i="10"/>
  <c r="K21" i="10"/>
  <c r="L20" i="10"/>
  <c r="K20" i="10"/>
  <c r="L19" i="10"/>
  <c r="K19" i="10"/>
  <c r="L18" i="10"/>
  <c r="K18" i="10"/>
  <c r="L17" i="10"/>
  <c r="K17" i="10"/>
  <c r="L16" i="10"/>
  <c r="K16" i="10"/>
  <c r="L15" i="10"/>
  <c r="K15" i="10"/>
  <c r="L14" i="10"/>
  <c r="K14" i="10"/>
  <c r="L13" i="10"/>
  <c r="L29" i="10"/>
  <c r="K13" i="10"/>
  <c r="L12" i="10"/>
  <c r="K12" i="10"/>
  <c r="L11" i="10"/>
  <c r="K11" i="10"/>
  <c r="L10" i="10"/>
  <c r="K10" i="10"/>
  <c r="L9" i="10"/>
  <c r="K9" i="10"/>
  <c r="L8" i="10"/>
  <c r="K8" i="10"/>
  <c r="L7" i="10"/>
  <c r="K7" i="10"/>
  <c r="L6" i="10"/>
  <c r="K6" i="10"/>
  <c r="O56" i="11"/>
  <c r="O54" i="11"/>
  <c r="N54" i="11"/>
  <c r="O53" i="11"/>
  <c r="N53" i="11"/>
  <c r="O38" i="11"/>
  <c r="N38" i="11"/>
  <c r="O34" i="11"/>
  <c r="N34" i="11"/>
  <c r="O31" i="11"/>
  <c r="N31" i="11"/>
  <c r="O25" i="11"/>
  <c r="N25" i="11"/>
  <c r="O22" i="11"/>
  <c r="N22" i="11"/>
  <c r="O19" i="11"/>
  <c r="N19" i="11"/>
  <c r="O16" i="11"/>
  <c r="N16" i="11"/>
  <c r="L56" i="11"/>
  <c r="L54" i="11"/>
  <c r="K54" i="11"/>
  <c r="L53" i="11"/>
  <c r="K53" i="11"/>
  <c r="L38" i="11"/>
  <c r="K38" i="11"/>
  <c r="L34" i="11"/>
  <c r="K34" i="11"/>
  <c r="L31" i="11"/>
  <c r="K31" i="11"/>
  <c r="L25" i="11"/>
  <c r="K25" i="11"/>
  <c r="L22" i="11"/>
  <c r="K22" i="11"/>
  <c r="L19" i="11"/>
  <c r="K19" i="11"/>
  <c r="L16" i="11"/>
  <c r="K16" i="11"/>
  <c r="R72" i="8"/>
  <c r="Q72" i="8"/>
  <c r="R71" i="8"/>
  <c r="Q71" i="8"/>
  <c r="R70" i="8"/>
  <c r="Q70" i="8"/>
  <c r="R69" i="8"/>
  <c r="Q69" i="8"/>
  <c r="R68" i="8"/>
  <c r="Q68" i="8"/>
  <c r="R67" i="8"/>
  <c r="Q67" i="8"/>
  <c r="R66" i="8"/>
  <c r="Q66" i="8"/>
  <c r="R65" i="8"/>
  <c r="Q65" i="8"/>
  <c r="R64" i="8"/>
  <c r="Q64" i="8"/>
  <c r="R63" i="8"/>
  <c r="Q63" i="8"/>
  <c r="R62" i="8"/>
  <c r="Q62" i="8"/>
  <c r="R61" i="8"/>
  <c r="Q61" i="8"/>
  <c r="R60" i="8"/>
  <c r="Q60" i="8"/>
  <c r="R59" i="8"/>
  <c r="Q59" i="8"/>
  <c r="R58" i="8"/>
  <c r="Q58" i="8"/>
  <c r="R57" i="8"/>
  <c r="Q57" i="8"/>
  <c r="R56" i="8"/>
  <c r="Q56" i="8"/>
  <c r="R55" i="8"/>
  <c r="Q55" i="8"/>
  <c r="R54" i="8"/>
  <c r="Q54" i="8"/>
  <c r="R53" i="8"/>
  <c r="Q53" i="8"/>
  <c r="R52" i="8"/>
  <c r="Q52" i="8"/>
  <c r="R51" i="8"/>
  <c r="Q51" i="8"/>
  <c r="R50" i="8"/>
  <c r="Q50" i="8"/>
  <c r="R49" i="8"/>
  <c r="Q49" i="8"/>
  <c r="R48" i="8"/>
  <c r="Q48" i="8"/>
  <c r="R47" i="8"/>
  <c r="Q47" i="8"/>
  <c r="R46" i="8"/>
  <c r="Q46" i="8"/>
  <c r="R45" i="8"/>
  <c r="Q45" i="8"/>
  <c r="R44" i="8"/>
  <c r="Q44" i="8"/>
  <c r="R43" i="8"/>
  <c r="Q43" i="8"/>
  <c r="R42" i="8"/>
  <c r="Q42" i="8"/>
  <c r="R41" i="8"/>
  <c r="Q41" i="8"/>
  <c r="R40" i="8"/>
  <c r="Q40" i="8"/>
  <c r="R39" i="8"/>
  <c r="Q39" i="8"/>
  <c r="R38" i="8"/>
  <c r="Q38" i="8"/>
  <c r="R37" i="8"/>
  <c r="Q37" i="8"/>
  <c r="R36" i="8"/>
  <c r="Q36" i="8"/>
  <c r="R35" i="8"/>
  <c r="Q35" i="8"/>
  <c r="R34" i="8"/>
  <c r="Q34" i="8"/>
  <c r="R33" i="8"/>
  <c r="Q33" i="8"/>
  <c r="R32" i="8"/>
  <c r="Q32" i="8"/>
  <c r="R31" i="8"/>
  <c r="Q31" i="8"/>
  <c r="R30" i="8"/>
  <c r="Q30" i="8"/>
  <c r="R29" i="8"/>
  <c r="Q29" i="8"/>
  <c r="R28" i="8"/>
  <c r="Q28" i="8"/>
  <c r="R27" i="8"/>
  <c r="Q27" i="8"/>
  <c r="R26" i="8"/>
  <c r="Q26" i="8"/>
  <c r="R25" i="8"/>
  <c r="Q25" i="8"/>
  <c r="R24" i="8"/>
  <c r="Q24" i="8"/>
  <c r="R23" i="8"/>
  <c r="Q23" i="8"/>
  <c r="R22" i="8"/>
  <c r="Q22" i="8"/>
  <c r="R21" i="8"/>
  <c r="Q21" i="8"/>
  <c r="R20" i="8"/>
  <c r="Q20" i="8"/>
  <c r="R19" i="8"/>
  <c r="Q19" i="8"/>
  <c r="R18" i="8"/>
  <c r="Q18" i="8"/>
  <c r="R17" i="8"/>
  <c r="Q17" i="8"/>
  <c r="R16" i="8"/>
  <c r="Q16" i="8"/>
  <c r="R15" i="8"/>
  <c r="Q15" i="8"/>
  <c r="R14" i="8"/>
  <c r="Q14" i="8"/>
  <c r="R13" i="8"/>
  <c r="Q13" i="8"/>
  <c r="R12" i="8"/>
  <c r="Q12" i="8"/>
  <c r="R11" i="8"/>
  <c r="Q11" i="8"/>
  <c r="R10" i="8"/>
  <c r="Q10" i="8"/>
  <c r="R9" i="8"/>
  <c r="Q9" i="8"/>
  <c r="R8" i="8"/>
  <c r="Q8" i="8"/>
  <c r="R7" i="8"/>
  <c r="Q7" i="8"/>
  <c r="O72" i="8"/>
  <c r="N72" i="8"/>
  <c r="O71" i="8"/>
  <c r="N71" i="8"/>
  <c r="O70" i="8"/>
  <c r="N70" i="8"/>
  <c r="O69" i="8"/>
  <c r="N69" i="8"/>
  <c r="O68" i="8"/>
  <c r="N68" i="8"/>
  <c r="O67" i="8"/>
  <c r="N67" i="8"/>
  <c r="O66" i="8"/>
  <c r="N66" i="8"/>
  <c r="O65" i="8"/>
  <c r="N65" i="8"/>
  <c r="O64" i="8"/>
  <c r="N64" i="8"/>
  <c r="O63" i="8"/>
  <c r="N63" i="8"/>
  <c r="O62" i="8"/>
  <c r="N62" i="8"/>
  <c r="O61" i="8"/>
  <c r="N61" i="8"/>
  <c r="O60" i="8"/>
  <c r="N60" i="8"/>
  <c r="O59" i="8"/>
  <c r="N59" i="8"/>
  <c r="O58" i="8"/>
  <c r="N58" i="8"/>
  <c r="O57" i="8"/>
  <c r="N57" i="8"/>
  <c r="O56" i="8"/>
  <c r="N56" i="8"/>
  <c r="O55" i="8"/>
  <c r="N55" i="8"/>
  <c r="O54" i="8"/>
  <c r="N54" i="8"/>
  <c r="O53" i="8"/>
  <c r="N53" i="8"/>
  <c r="O52" i="8"/>
  <c r="N52" i="8"/>
  <c r="O51" i="8"/>
  <c r="N51" i="8"/>
  <c r="O50" i="8"/>
  <c r="N50" i="8"/>
  <c r="O49" i="8"/>
  <c r="N49" i="8"/>
  <c r="O48" i="8"/>
  <c r="N48" i="8"/>
  <c r="O47" i="8"/>
  <c r="N47" i="8"/>
  <c r="O46" i="8"/>
  <c r="N46" i="8"/>
  <c r="O45" i="8"/>
  <c r="N45" i="8"/>
  <c r="O44" i="8"/>
  <c r="N44" i="8"/>
  <c r="O43" i="8"/>
  <c r="N43" i="8"/>
  <c r="O42" i="8"/>
  <c r="N42" i="8"/>
  <c r="O41" i="8"/>
  <c r="N41" i="8"/>
  <c r="O40" i="8"/>
  <c r="N40" i="8"/>
  <c r="O39" i="8"/>
  <c r="N39" i="8"/>
  <c r="O38" i="8"/>
  <c r="N38" i="8"/>
  <c r="O37" i="8"/>
  <c r="N37" i="8"/>
  <c r="O36" i="8"/>
  <c r="N36" i="8"/>
  <c r="O35" i="8"/>
  <c r="N35" i="8"/>
  <c r="O34" i="8"/>
  <c r="N34" i="8"/>
  <c r="O33" i="8"/>
  <c r="N33" i="8"/>
  <c r="N73" i="8"/>
  <c r="O32" i="8"/>
  <c r="N32" i="8"/>
  <c r="O31" i="8"/>
  <c r="N31" i="8"/>
  <c r="O30" i="8"/>
  <c r="N30" i="8"/>
  <c r="O29" i="8"/>
  <c r="N29" i="8"/>
  <c r="O28" i="8"/>
  <c r="N28" i="8"/>
  <c r="O27" i="8"/>
  <c r="N27" i="8"/>
  <c r="O26" i="8"/>
  <c r="N26" i="8"/>
  <c r="O25" i="8"/>
  <c r="N25" i="8"/>
  <c r="O24" i="8"/>
  <c r="N24" i="8"/>
  <c r="O23" i="8"/>
  <c r="N23" i="8"/>
  <c r="O22" i="8"/>
  <c r="N22" i="8"/>
  <c r="O21" i="8"/>
  <c r="N21" i="8"/>
  <c r="O20" i="8"/>
  <c r="N20" i="8"/>
  <c r="O19" i="8"/>
  <c r="N19" i="8"/>
  <c r="O18" i="8"/>
  <c r="N18" i="8"/>
  <c r="O17" i="8"/>
  <c r="N17" i="8"/>
  <c r="O16" i="8"/>
  <c r="N16" i="8"/>
  <c r="O15" i="8"/>
  <c r="N15" i="8"/>
  <c r="O14" i="8"/>
  <c r="N14" i="8"/>
  <c r="O13" i="8"/>
  <c r="N13" i="8"/>
  <c r="O12" i="8"/>
  <c r="N12" i="8"/>
  <c r="O11" i="8"/>
  <c r="N11" i="8"/>
  <c r="O10" i="8"/>
  <c r="N10" i="8"/>
  <c r="O9" i="8"/>
  <c r="N9" i="8"/>
  <c r="O8" i="8"/>
  <c r="N8" i="8"/>
  <c r="O7" i="8"/>
  <c r="N7" i="8"/>
  <c r="L72" i="8"/>
  <c r="K72" i="8"/>
  <c r="L71" i="8"/>
  <c r="K71" i="8"/>
  <c r="L70" i="8"/>
  <c r="K70" i="8"/>
  <c r="L69" i="8"/>
  <c r="K69" i="8"/>
  <c r="L68" i="8"/>
  <c r="K68" i="8"/>
  <c r="L67" i="8"/>
  <c r="K67" i="8"/>
  <c r="L66" i="8"/>
  <c r="K66" i="8"/>
  <c r="L65" i="8"/>
  <c r="K65" i="8"/>
  <c r="L64" i="8"/>
  <c r="K64" i="8"/>
  <c r="L63" i="8"/>
  <c r="K63" i="8"/>
  <c r="L62" i="8"/>
  <c r="K62" i="8"/>
  <c r="L61" i="8"/>
  <c r="K61" i="8"/>
  <c r="L60" i="8"/>
  <c r="K60" i="8"/>
  <c r="L59" i="8"/>
  <c r="K59" i="8"/>
  <c r="L58" i="8"/>
  <c r="K58" i="8"/>
  <c r="L57" i="8"/>
  <c r="K57" i="8"/>
  <c r="L56" i="8"/>
  <c r="K56" i="8"/>
  <c r="L55" i="8"/>
  <c r="K55" i="8"/>
  <c r="L54" i="8"/>
  <c r="K54" i="8"/>
  <c r="L53" i="8"/>
  <c r="K53" i="8"/>
  <c r="L52" i="8"/>
  <c r="K52" i="8"/>
  <c r="L51" i="8"/>
  <c r="K51" i="8"/>
  <c r="L50" i="8"/>
  <c r="K50" i="8"/>
  <c r="L49" i="8"/>
  <c r="K49" i="8"/>
  <c r="L48" i="8"/>
  <c r="K48" i="8"/>
  <c r="L47" i="8"/>
  <c r="K47" i="8"/>
  <c r="L46" i="8"/>
  <c r="K46" i="8"/>
  <c r="L45" i="8"/>
  <c r="K45" i="8"/>
  <c r="L44" i="8"/>
  <c r="K44" i="8"/>
  <c r="L43" i="8"/>
  <c r="K43" i="8"/>
  <c r="L42" i="8"/>
  <c r="K42" i="8"/>
  <c r="L41" i="8"/>
  <c r="K41" i="8"/>
  <c r="L40" i="8"/>
  <c r="K40" i="8"/>
  <c r="L39" i="8"/>
  <c r="K39" i="8"/>
  <c r="L38" i="8"/>
  <c r="K38" i="8"/>
  <c r="L37" i="8"/>
  <c r="K37" i="8"/>
  <c r="L36" i="8"/>
  <c r="K36" i="8"/>
  <c r="L35" i="8"/>
  <c r="K35" i="8"/>
  <c r="L34" i="8"/>
  <c r="K34" i="8"/>
  <c r="L33" i="8"/>
  <c r="K33" i="8"/>
  <c r="K73" i="8"/>
  <c r="L32" i="8"/>
  <c r="K32" i="8"/>
  <c r="L31" i="8"/>
  <c r="K31" i="8"/>
  <c r="L30" i="8"/>
  <c r="K30" i="8"/>
  <c r="L29" i="8"/>
  <c r="K29" i="8"/>
  <c r="L28" i="8"/>
  <c r="K28" i="8"/>
  <c r="L27" i="8"/>
  <c r="K27" i="8"/>
  <c r="L26" i="8"/>
  <c r="K26" i="8"/>
  <c r="L25" i="8"/>
  <c r="K25" i="8"/>
  <c r="L24" i="8"/>
  <c r="K24" i="8"/>
  <c r="L23" i="8"/>
  <c r="K23" i="8"/>
  <c r="L22" i="8"/>
  <c r="K22" i="8"/>
  <c r="L21" i="8"/>
  <c r="K21" i="8"/>
  <c r="L20" i="8"/>
  <c r="K20" i="8"/>
  <c r="L19" i="8"/>
  <c r="K19" i="8"/>
  <c r="L18" i="8"/>
  <c r="K18" i="8"/>
  <c r="L17" i="8"/>
  <c r="K17" i="8"/>
  <c r="L16" i="8"/>
  <c r="K16" i="8"/>
  <c r="L15" i="8"/>
  <c r="K15" i="8"/>
  <c r="L14" i="8"/>
  <c r="K14" i="8"/>
  <c r="L13" i="8"/>
  <c r="K13" i="8"/>
  <c r="L12" i="8"/>
  <c r="K12" i="8"/>
  <c r="L11" i="8"/>
  <c r="K11" i="8"/>
  <c r="L10" i="8"/>
  <c r="K10" i="8"/>
  <c r="L9" i="8"/>
  <c r="K9" i="8"/>
  <c r="L8" i="8"/>
  <c r="K8" i="8"/>
  <c r="L7" i="8"/>
  <c r="K7" i="8"/>
  <c r="R6" i="8"/>
  <c r="Q6" i="8"/>
  <c r="O6" i="8"/>
  <c r="N6" i="8"/>
  <c r="L6" i="8"/>
  <c r="K6" i="8"/>
  <c r="R82" i="9"/>
  <c r="Q82" i="9"/>
  <c r="R81" i="9"/>
  <c r="Q81" i="9"/>
  <c r="R80" i="9"/>
  <c r="Q80" i="9"/>
  <c r="R79" i="9"/>
  <c r="Q79" i="9"/>
  <c r="R78" i="9"/>
  <c r="Q78" i="9"/>
  <c r="R77" i="9"/>
  <c r="Q77" i="9"/>
  <c r="R76" i="9"/>
  <c r="Q76" i="9"/>
  <c r="R75" i="9"/>
  <c r="Q75" i="9"/>
  <c r="R74" i="9"/>
  <c r="Q74" i="9"/>
  <c r="R73" i="9"/>
  <c r="Q73" i="9"/>
  <c r="R72" i="9"/>
  <c r="Q72" i="9"/>
  <c r="R71" i="9"/>
  <c r="Q71" i="9"/>
  <c r="R70" i="9"/>
  <c r="Q70" i="9"/>
  <c r="R69" i="9"/>
  <c r="Q69" i="9"/>
  <c r="R68" i="9"/>
  <c r="Q68" i="9"/>
  <c r="R67" i="9"/>
  <c r="Q67" i="9"/>
  <c r="R66" i="9"/>
  <c r="Q66" i="9"/>
  <c r="R65" i="9"/>
  <c r="Q65" i="9"/>
  <c r="R64" i="9"/>
  <c r="Q64" i="9"/>
  <c r="R63" i="9"/>
  <c r="Q63" i="9"/>
  <c r="R62" i="9"/>
  <c r="Q62" i="9"/>
  <c r="R61" i="9"/>
  <c r="Q61" i="9"/>
  <c r="R60" i="9"/>
  <c r="Q60" i="9"/>
  <c r="R59" i="9"/>
  <c r="Q59" i="9"/>
  <c r="R58" i="9"/>
  <c r="Q58" i="9"/>
  <c r="R57" i="9"/>
  <c r="Q57" i="9"/>
  <c r="R56" i="9"/>
  <c r="Q56" i="9"/>
  <c r="R55" i="9"/>
  <c r="Q55" i="9"/>
  <c r="R54" i="9"/>
  <c r="Q54" i="9"/>
  <c r="R53" i="9"/>
  <c r="Q53" i="9"/>
  <c r="R52" i="9"/>
  <c r="Q52" i="9"/>
  <c r="R51" i="9"/>
  <c r="Q51" i="9"/>
  <c r="R50" i="9"/>
  <c r="Q50" i="9"/>
  <c r="R49" i="9"/>
  <c r="Q49" i="9"/>
  <c r="R48" i="9"/>
  <c r="Q48" i="9"/>
  <c r="R47" i="9"/>
  <c r="Q47" i="9"/>
  <c r="R46" i="9"/>
  <c r="Q46" i="9"/>
  <c r="R45" i="9"/>
  <c r="Q45" i="9"/>
  <c r="R44" i="9"/>
  <c r="Q44" i="9"/>
  <c r="R43" i="9"/>
  <c r="Q43" i="9"/>
  <c r="R42" i="9"/>
  <c r="Q42" i="9"/>
  <c r="R41" i="9"/>
  <c r="Q41" i="9"/>
  <c r="R40" i="9"/>
  <c r="Q40" i="9"/>
  <c r="R39" i="9"/>
  <c r="Q39" i="9"/>
  <c r="R38" i="9"/>
  <c r="Q38" i="9"/>
  <c r="R37" i="9"/>
  <c r="Q37" i="9"/>
  <c r="R36" i="9"/>
  <c r="Q36" i="9"/>
  <c r="R35" i="9"/>
  <c r="Q35" i="9"/>
  <c r="R34" i="9"/>
  <c r="Q34" i="9"/>
  <c r="R33" i="9"/>
  <c r="Q33" i="9"/>
  <c r="R32" i="9"/>
  <c r="Q32" i="9"/>
  <c r="R31" i="9"/>
  <c r="Q31" i="9"/>
  <c r="R30" i="9"/>
  <c r="Q30" i="9"/>
  <c r="R29" i="9"/>
  <c r="Q29" i="9"/>
  <c r="R28" i="9"/>
  <c r="Q28" i="9"/>
  <c r="R27" i="9"/>
  <c r="Q27" i="9"/>
  <c r="R26" i="9"/>
  <c r="Q26" i="9"/>
  <c r="R25" i="9"/>
  <c r="Q25" i="9"/>
  <c r="R24" i="9"/>
  <c r="Q24" i="9"/>
  <c r="R23" i="9"/>
  <c r="Q23" i="9"/>
  <c r="R22" i="9"/>
  <c r="Q22" i="9"/>
  <c r="R21" i="9"/>
  <c r="Q21" i="9"/>
  <c r="R20" i="9"/>
  <c r="Q20" i="9"/>
  <c r="R19" i="9"/>
  <c r="Q19" i="9"/>
  <c r="R18" i="9"/>
  <c r="Q18" i="9"/>
  <c r="R17" i="9"/>
  <c r="Q17" i="9"/>
  <c r="R16" i="9"/>
  <c r="Q16" i="9"/>
  <c r="R15" i="9"/>
  <c r="Q15" i="9"/>
  <c r="R14" i="9"/>
  <c r="Q14" i="9"/>
  <c r="R13" i="9"/>
  <c r="Q13" i="9"/>
  <c r="R12" i="9"/>
  <c r="Q12" i="9"/>
  <c r="R11" i="9"/>
  <c r="Q11" i="9"/>
  <c r="R10" i="9"/>
  <c r="Q10" i="9"/>
  <c r="R9" i="9"/>
  <c r="Q9" i="9"/>
  <c r="R8" i="9"/>
  <c r="Q8" i="9"/>
  <c r="R7" i="9"/>
  <c r="Q7" i="9"/>
  <c r="O82" i="9"/>
  <c r="N82" i="9"/>
  <c r="O81" i="9"/>
  <c r="N81" i="9"/>
  <c r="O80" i="9"/>
  <c r="N80" i="9"/>
  <c r="O79" i="9"/>
  <c r="N79" i="9"/>
  <c r="O78" i="9"/>
  <c r="N78" i="9"/>
  <c r="O77" i="9"/>
  <c r="N77" i="9"/>
  <c r="O76" i="9"/>
  <c r="N76" i="9"/>
  <c r="O75" i="9"/>
  <c r="N75" i="9"/>
  <c r="O74" i="9"/>
  <c r="N74" i="9"/>
  <c r="O73" i="9"/>
  <c r="N73" i="9"/>
  <c r="O72" i="9"/>
  <c r="N72" i="9"/>
  <c r="O71" i="9"/>
  <c r="N71" i="9"/>
  <c r="O70" i="9"/>
  <c r="N70" i="9"/>
  <c r="O69" i="9"/>
  <c r="N69" i="9"/>
  <c r="O68" i="9"/>
  <c r="N68" i="9"/>
  <c r="O67" i="9"/>
  <c r="N67" i="9"/>
  <c r="O66" i="9"/>
  <c r="N66" i="9"/>
  <c r="O65" i="9"/>
  <c r="N65" i="9"/>
  <c r="O64" i="9"/>
  <c r="N64" i="9"/>
  <c r="O63" i="9"/>
  <c r="N63" i="9"/>
  <c r="O62" i="9"/>
  <c r="N62" i="9"/>
  <c r="O61" i="9"/>
  <c r="N61" i="9"/>
  <c r="O60" i="9"/>
  <c r="N60" i="9"/>
  <c r="O59" i="9"/>
  <c r="N59" i="9"/>
  <c r="O58" i="9"/>
  <c r="N58" i="9"/>
  <c r="O57" i="9"/>
  <c r="N57" i="9"/>
  <c r="O56" i="9"/>
  <c r="N56" i="9"/>
  <c r="O55" i="9"/>
  <c r="N55" i="9"/>
  <c r="O54" i="9"/>
  <c r="N54" i="9"/>
  <c r="O53" i="9"/>
  <c r="N53" i="9"/>
  <c r="O52" i="9"/>
  <c r="N52" i="9"/>
  <c r="O51" i="9"/>
  <c r="N51" i="9"/>
  <c r="O50" i="9"/>
  <c r="N50" i="9"/>
  <c r="O49" i="9"/>
  <c r="N49" i="9"/>
  <c r="O48" i="9"/>
  <c r="N48" i="9"/>
  <c r="O47" i="9"/>
  <c r="N47" i="9"/>
  <c r="O46" i="9"/>
  <c r="N46" i="9"/>
  <c r="O45" i="9"/>
  <c r="N45" i="9"/>
  <c r="O44" i="9"/>
  <c r="N44" i="9"/>
  <c r="O43" i="9"/>
  <c r="N43" i="9"/>
  <c r="O42" i="9"/>
  <c r="N42" i="9"/>
  <c r="O41" i="9"/>
  <c r="N41" i="9"/>
  <c r="O40" i="9"/>
  <c r="N40" i="9"/>
  <c r="O39" i="9"/>
  <c r="N39" i="9"/>
  <c r="O38" i="9"/>
  <c r="N38" i="9"/>
  <c r="O37" i="9"/>
  <c r="N37" i="9"/>
  <c r="O36" i="9"/>
  <c r="N36" i="9"/>
  <c r="O35" i="9"/>
  <c r="N35" i="9"/>
  <c r="O34" i="9"/>
  <c r="N34" i="9"/>
  <c r="O33" i="9"/>
  <c r="N33" i="9"/>
  <c r="O32" i="9"/>
  <c r="N32" i="9"/>
  <c r="O31" i="9"/>
  <c r="N31" i="9"/>
  <c r="O30" i="9"/>
  <c r="N30" i="9"/>
  <c r="O29" i="9"/>
  <c r="N29" i="9"/>
  <c r="O28" i="9"/>
  <c r="N28" i="9"/>
  <c r="O27" i="9"/>
  <c r="N27" i="9"/>
  <c r="O26" i="9"/>
  <c r="N26" i="9"/>
  <c r="O25" i="9"/>
  <c r="N25" i="9"/>
  <c r="O24" i="9"/>
  <c r="N24" i="9"/>
  <c r="O23" i="9"/>
  <c r="N23" i="9"/>
  <c r="O22" i="9"/>
  <c r="N22" i="9"/>
  <c r="O21" i="9"/>
  <c r="N21" i="9"/>
  <c r="O20" i="9"/>
  <c r="N20" i="9"/>
  <c r="O19" i="9"/>
  <c r="N19" i="9"/>
  <c r="O18" i="9"/>
  <c r="N18" i="9"/>
  <c r="O17" i="9"/>
  <c r="N17" i="9"/>
  <c r="O16" i="9"/>
  <c r="N16" i="9"/>
  <c r="O15" i="9"/>
  <c r="N15" i="9"/>
  <c r="O14" i="9"/>
  <c r="N14" i="9"/>
  <c r="O13" i="9"/>
  <c r="N13" i="9"/>
  <c r="O12" i="9"/>
  <c r="N12" i="9"/>
  <c r="O11" i="9"/>
  <c r="N11" i="9"/>
  <c r="O10" i="9"/>
  <c r="N10" i="9"/>
  <c r="O9" i="9"/>
  <c r="N9" i="9"/>
  <c r="O8" i="9"/>
  <c r="N8" i="9"/>
  <c r="O7" i="9"/>
  <c r="N7" i="9"/>
  <c r="L82" i="9"/>
  <c r="K82" i="9"/>
  <c r="L81" i="9"/>
  <c r="K81" i="9"/>
  <c r="L80" i="9"/>
  <c r="K80" i="9"/>
  <c r="L79" i="9"/>
  <c r="K79" i="9"/>
  <c r="L78" i="9"/>
  <c r="K78" i="9"/>
  <c r="L77" i="9"/>
  <c r="K77" i="9"/>
  <c r="L76" i="9"/>
  <c r="K76" i="9"/>
  <c r="L75" i="9"/>
  <c r="K75" i="9"/>
  <c r="L74" i="9"/>
  <c r="K74" i="9"/>
  <c r="L73" i="9"/>
  <c r="K73" i="9"/>
  <c r="L72" i="9"/>
  <c r="K72" i="9"/>
  <c r="L71" i="9"/>
  <c r="K71" i="9"/>
  <c r="L70" i="9"/>
  <c r="K70" i="9"/>
  <c r="L69" i="9"/>
  <c r="K69" i="9"/>
  <c r="L68" i="9"/>
  <c r="K68" i="9"/>
  <c r="L67" i="9"/>
  <c r="K67" i="9"/>
  <c r="L66" i="9"/>
  <c r="K66" i="9"/>
  <c r="L65" i="9"/>
  <c r="K65" i="9"/>
  <c r="L64" i="9"/>
  <c r="K64" i="9"/>
  <c r="L63" i="9"/>
  <c r="K63" i="9"/>
  <c r="L62" i="9"/>
  <c r="K62" i="9"/>
  <c r="L61" i="9"/>
  <c r="K61" i="9"/>
  <c r="L60" i="9"/>
  <c r="K60" i="9"/>
  <c r="L59" i="9"/>
  <c r="K59" i="9"/>
  <c r="L58" i="9"/>
  <c r="K58" i="9"/>
  <c r="L57" i="9"/>
  <c r="K57" i="9"/>
  <c r="L56" i="9"/>
  <c r="K56" i="9"/>
  <c r="L55" i="9"/>
  <c r="K55" i="9"/>
  <c r="L54" i="9"/>
  <c r="K54" i="9"/>
  <c r="L53" i="9"/>
  <c r="K53" i="9"/>
  <c r="L52" i="9"/>
  <c r="K52" i="9"/>
  <c r="L51" i="9"/>
  <c r="K51" i="9"/>
  <c r="L50" i="9"/>
  <c r="K50" i="9"/>
  <c r="L49" i="9"/>
  <c r="K49" i="9"/>
  <c r="L48" i="9"/>
  <c r="K48" i="9"/>
  <c r="L47" i="9"/>
  <c r="K47" i="9"/>
  <c r="L46" i="9"/>
  <c r="K46" i="9"/>
  <c r="L45" i="9"/>
  <c r="K45" i="9"/>
  <c r="L44" i="9"/>
  <c r="K44" i="9"/>
  <c r="L43" i="9"/>
  <c r="K43" i="9"/>
  <c r="L42" i="9"/>
  <c r="K42" i="9"/>
  <c r="L41" i="9"/>
  <c r="K41" i="9"/>
  <c r="L40" i="9"/>
  <c r="K40" i="9"/>
  <c r="L39" i="9"/>
  <c r="K39" i="9"/>
  <c r="L38" i="9"/>
  <c r="K38" i="9"/>
  <c r="L37" i="9"/>
  <c r="K37" i="9"/>
  <c r="L36" i="9"/>
  <c r="K36" i="9"/>
  <c r="L35" i="9"/>
  <c r="K35" i="9"/>
  <c r="L34" i="9"/>
  <c r="K34" i="9"/>
  <c r="L33" i="9"/>
  <c r="K33" i="9"/>
  <c r="L32" i="9"/>
  <c r="K32" i="9"/>
  <c r="L31" i="9"/>
  <c r="K31" i="9"/>
  <c r="L30" i="9"/>
  <c r="K30" i="9"/>
  <c r="L29" i="9"/>
  <c r="K29" i="9"/>
  <c r="L28" i="9"/>
  <c r="K28" i="9"/>
  <c r="L27" i="9"/>
  <c r="K27" i="9"/>
  <c r="L26" i="9"/>
  <c r="K26" i="9"/>
  <c r="L25" i="9"/>
  <c r="K25" i="9"/>
  <c r="L24" i="9"/>
  <c r="K24" i="9"/>
  <c r="L23" i="9"/>
  <c r="K23" i="9"/>
  <c r="L22" i="9"/>
  <c r="K22" i="9"/>
  <c r="L21" i="9"/>
  <c r="K21" i="9"/>
  <c r="L20" i="9"/>
  <c r="K20" i="9"/>
  <c r="L19" i="9"/>
  <c r="K19" i="9"/>
  <c r="L18" i="9"/>
  <c r="K18" i="9"/>
  <c r="L17" i="9"/>
  <c r="K17" i="9"/>
  <c r="L16" i="9"/>
  <c r="K16" i="9"/>
  <c r="L15" i="9"/>
  <c r="K15" i="9"/>
  <c r="L14" i="9"/>
  <c r="K14" i="9"/>
  <c r="L13" i="9"/>
  <c r="K13" i="9"/>
  <c r="L12" i="9"/>
  <c r="K12" i="9"/>
  <c r="L11" i="9"/>
  <c r="K11" i="9"/>
  <c r="L10" i="9"/>
  <c r="K10" i="9"/>
  <c r="L9" i="9"/>
  <c r="K9" i="9"/>
  <c r="L8" i="9"/>
  <c r="K8" i="9"/>
  <c r="L7" i="9"/>
  <c r="K7" i="9"/>
  <c r="R6" i="9"/>
  <c r="Q6" i="9"/>
  <c r="O6" i="9"/>
  <c r="N6" i="9"/>
  <c r="L6" i="9"/>
  <c r="K6" i="9"/>
  <c r="BF11" i="15"/>
  <c r="BI11" i="15"/>
  <c r="AQ11" i="15"/>
  <c r="AT11" i="15"/>
  <c r="AZ11" i="15"/>
  <c r="AW11" i="15"/>
  <c r="BC11" i="15"/>
  <c r="AN11" i="15"/>
  <c r="T41" i="32"/>
  <c r="N41" i="32"/>
  <c r="N39" i="7"/>
  <c r="X29" i="10"/>
  <c r="N29" i="10"/>
  <c r="K29" i="10"/>
  <c r="Z29" i="10"/>
  <c r="AA29" i="10"/>
  <c r="T29" i="10"/>
  <c r="U29" i="10"/>
  <c r="L57" i="11"/>
  <c r="O57" i="11"/>
  <c r="Q29" i="10"/>
  <c r="G57" i="11"/>
  <c r="Q73" i="8"/>
  <c r="R73" i="8"/>
  <c r="O73" i="8"/>
  <c r="L73" i="8"/>
  <c r="G55" i="11"/>
  <c r="N57" i="11"/>
  <c r="K57" i="11"/>
  <c r="K55" i="11"/>
  <c r="N55" i="11"/>
  <c r="H9" i="50"/>
  <c r="H8" i="50"/>
  <c r="H7" i="50"/>
  <c r="H6" i="50"/>
  <c r="H5" i="50"/>
  <c r="H4" i="50"/>
  <c r="H10" i="50"/>
  <c r="H9" i="49"/>
  <c r="H8" i="49"/>
  <c r="H7" i="49"/>
  <c r="H6" i="49"/>
  <c r="H5" i="49"/>
  <c r="H4" i="49"/>
  <c r="H10" i="49"/>
  <c r="H9" i="48"/>
  <c r="H8" i="48"/>
  <c r="H7" i="48"/>
  <c r="H6" i="48"/>
  <c r="H5" i="48"/>
  <c r="H4" i="48"/>
  <c r="H10" i="48"/>
  <c r="H9" i="47"/>
  <c r="H8" i="47"/>
  <c r="H7" i="47"/>
  <c r="H6" i="47"/>
  <c r="H5" i="47"/>
  <c r="H4" i="47"/>
  <c r="H10" i="47"/>
  <c r="H16" i="47"/>
  <c r="H15" i="48"/>
  <c r="H11" i="48"/>
  <c r="H14" i="48"/>
  <c r="H13" i="48"/>
  <c r="H16" i="48"/>
  <c r="H12" i="48"/>
  <c r="H14" i="49"/>
  <c r="H13" i="49"/>
  <c r="H16" i="49"/>
  <c r="H12" i="49"/>
  <c r="H15" i="49"/>
  <c r="H11" i="49"/>
  <c r="H13" i="50"/>
  <c r="H16" i="50"/>
  <c r="H12" i="50"/>
  <c r="H15" i="50"/>
  <c r="H11" i="50"/>
  <c r="H14" i="50"/>
  <c r="H13" i="47"/>
  <c r="H11" i="47"/>
  <c r="H15" i="47"/>
  <c r="H12" i="47"/>
  <c r="H14" i="47"/>
  <c r="H13" i="45"/>
  <c r="H12" i="45"/>
  <c r="H11" i="45"/>
  <c r="H10" i="45"/>
  <c r="H9" i="45"/>
  <c r="H8" i="45"/>
  <c r="H7" i="45"/>
  <c r="H6" i="45"/>
  <c r="H4" i="45"/>
  <c r="H21" i="44"/>
  <c r="H20" i="44"/>
  <c r="G21" i="44"/>
  <c r="G20" i="44"/>
  <c r="H18" i="44"/>
  <c r="H17" i="44"/>
  <c r="H16" i="44"/>
  <c r="H15" i="44"/>
  <c r="F13" i="44"/>
  <c r="E13" i="44"/>
  <c r="G13" i="44"/>
  <c r="H13" i="44"/>
  <c r="F12" i="44"/>
  <c r="E12" i="44"/>
  <c r="F8" i="44"/>
  <c r="E8" i="44"/>
  <c r="G8" i="44"/>
  <c r="H8" i="44"/>
  <c r="F7" i="44"/>
  <c r="G7" i="44"/>
  <c r="H7" i="44"/>
  <c r="E7" i="44"/>
  <c r="F6" i="44"/>
  <c r="G6" i="44"/>
  <c r="H6" i="44"/>
  <c r="F19" i="44"/>
  <c r="G19" i="44"/>
  <c r="H19" i="44"/>
  <c r="G9" i="15"/>
  <c r="G8" i="15"/>
  <c r="G7" i="15"/>
  <c r="BH8" i="15"/>
  <c r="BE8" i="15"/>
  <c r="AP8" i="15"/>
  <c r="AS8" i="15"/>
  <c r="AV8" i="15"/>
  <c r="BB8" i="15"/>
  <c r="AM8" i="15"/>
  <c r="AY8" i="15"/>
  <c r="X8" i="15"/>
  <c r="U8" i="15"/>
  <c r="R8" i="15"/>
  <c r="O8" i="15"/>
  <c r="AG8" i="15"/>
  <c r="AD8" i="15"/>
  <c r="AA8" i="15"/>
  <c r="AJ8" i="15"/>
  <c r="BE9" i="15"/>
  <c r="BH9" i="15"/>
  <c r="AV9" i="15"/>
  <c r="AY9" i="15"/>
  <c r="AP9" i="15"/>
  <c r="AS9" i="15"/>
  <c r="BB9" i="15"/>
  <c r="AM9" i="15"/>
  <c r="AJ9" i="15"/>
  <c r="X9" i="15"/>
  <c r="U9" i="15"/>
  <c r="R9" i="15"/>
  <c r="O9" i="15"/>
  <c r="AG9" i="15"/>
  <c r="AD9" i="15"/>
  <c r="AA9" i="15"/>
  <c r="BE7" i="15"/>
  <c r="BH7" i="15"/>
  <c r="AY7" i="15"/>
  <c r="AM7" i="15"/>
  <c r="AP7" i="15"/>
  <c r="AS7" i="15"/>
  <c r="AV7" i="15"/>
  <c r="BB7" i="15"/>
  <c r="AA7" i="15"/>
  <c r="AJ7" i="15"/>
  <c r="X7" i="15"/>
  <c r="U7" i="15"/>
  <c r="R7" i="15"/>
  <c r="O7" i="15"/>
  <c r="AD7" i="15"/>
  <c r="AG7" i="15"/>
  <c r="G12" i="44"/>
  <c r="H12" i="44"/>
  <c r="G38" i="7"/>
  <c r="G72" i="8"/>
  <c r="H72" i="8"/>
  <c r="H38" i="7"/>
  <c r="BF7" i="15"/>
  <c r="BI7" i="15"/>
  <c r="AQ7" i="15"/>
  <c r="AT7" i="15"/>
  <c r="AW7" i="15"/>
  <c r="BC7" i="15"/>
  <c r="AZ7" i="15"/>
  <c r="AN7" i="15"/>
  <c r="AK7" i="15"/>
  <c r="Y7" i="15"/>
  <c r="V7" i="15"/>
  <c r="S7" i="15"/>
  <c r="P7" i="15"/>
  <c r="AH7" i="15"/>
  <c r="AE7" i="15"/>
  <c r="AB7" i="15"/>
  <c r="BF9" i="15"/>
  <c r="BI9" i="15"/>
  <c r="AQ9" i="15"/>
  <c r="AT9" i="15"/>
  <c r="AW9" i="15"/>
  <c r="AZ9" i="15"/>
  <c r="BC9" i="15"/>
  <c r="AN9" i="15"/>
  <c r="AK9" i="15"/>
  <c r="Y9" i="15"/>
  <c r="V9" i="15"/>
  <c r="S9" i="15"/>
  <c r="P9" i="15"/>
  <c r="AH9" i="15"/>
  <c r="AE9" i="15"/>
  <c r="AB9" i="15"/>
  <c r="BI8" i="15"/>
  <c r="BF8" i="15"/>
  <c r="AQ8" i="15"/>
  <c r="AT8" i="15"/>
  <c r="AW8" i="15"/>
  <c r="AZ8" i="15"/>
  <c r="BC8" i="15"/>
  <c r="AN8" i="15"/>
  <c r="AH8" i="15"/>
  <c r="AE8" i="15"/>
  <c r="AB8" i="15"/>
  <c r="AK8" i="15"/>
  <c r="V8" i="15"/>
  <c r="Y8" i="15"/>
  <c r="S8" i="15"/>
  <c r="P8" i="15"/>
  <c r="G49" i="9"/>
  <c r="G36" i="9"/>
  <c r="G39" i="9"/>
  <c r="G38" i="9"/>
  <c r="G37" i="9"/>
  <c r="G35" i="9"/>
  <c r="G34" i="9"/>
  <c r="G16" i="43"/>
  <c r="G17" i="43"/>
  <c r="G12" i="16"/>
  <c r="G19" i="16"/>
  <c r="G28" i="10"/>
  <c r="E39" i="32"/>
  <c r="E40" i="32"/>
  <c r="F39" i="32"/>
  <c r="H46" i="15"/>
  <c r="E45" i="15"/>
  <c r="E43" i="15"/>
  <c r="F45" i="15"/>
  <c r="F44" i="15"/>
  <c r="G44" i="15"/>
  <c r="F43" i="15"/>
  <c r="F42" i="15"/>
  <c r="G42" i="15"/>
  <c r="F41" i="15"/>
  <c r="G41" i="15"/>
  <c r="F40" i="32"/>
  <c r="G40" i="32"/>
  <c r="H40" i="32"/>
  <c r="F38" i="32"/>
  <c r="F37" i="32"/>
  <c r="F36" i="32"/>
  <c r="F35" i="32"/>
  <c r="F34" i="32"/>
  <c r="F33" i="32"/>
  <c r="F32" i="32"/>
  <c r="F31" i="32"/>
  <c r="E37" i="32"/>
  <c r="E36" i="32"/>
  <c r="E35" i="32"/>
  <c r="G35" i="32"/>
  <c r="H35" i="32"/>
  <c r="E34" i="32"/>
  <c r="E33" i="32"/>
  <c r="E32" i="32"/>
  <c r="G32" i="32"/>
  <c r="H32" i="32"/>
  <c r="E31" i="32"/>
  <c r="H44" i="15"/>
  <c r="BH44" i="15"/>
  <c r="BE44" i="15"/>
  <c r="AP44" i="15"/>
  <c r="AS44" i="15"/>
  <c r="AV44" i="15"/>
  <c r="AY44" i="15"/>
  <c r="BB44" i="15"/>
  <c r="AM44" i="15"/>
  <c r="X44" i="15"/>
  <c r="U44" i="15"/>
  <c r="R44" i="15"/>
  <c r="O44" i="15"/>
  <c r="AD44" i="15"/>
  <c r="AA44" i="15"/>
  <c r="AJ44" i="15"/>
  <c r="AG44" i="15"/>
  <c r="BI46" i="15"/>
  <c r="BF46" i="15"/>
  <c r="AQ46" i="15"/>
  <c r="AT46" i="15"/>
  <c r="AW46" i="15"/>
  <c r="AZ46" i="15"/>
  <c r="BC46" i="15"/>
  <c r="AN46" i="15"/>
  <c r="AE46" i="15"/>
  <c r="AB46" i="15"/>
  <c r="AK46" i="15"/>
  <c r="AH46" i="15"/>
  <c r="S46" i="15"/>
  <c r="P46" i="15"/>
  <c r="V46" i="15"/>
  <c r="Y46" i="15"/>
  <c r="H41" i="15"/>
  <c r="BE41" i="15"/>
  <c r="BH41" i="15"/>
  <c r="AP41" i="15"/>
  <c r="AS41" i="15"/>
  <c r="AV41" i="15"/>
  <c r="AY41" i="15"/>
  <c r="BB41" i="15"/>
  <c r="AM41" i="15"/>
  <c r="AJ41" i="15"/>
  <c r="AG41" i="15"/>
  <c r="X41" i="15"/>
  <c r="U41" i="15"/>
  <c r="R41" i="15"/>
  <c r="O41" i="15"/>
  <c r="AD41" i="15"/>
  <c r="AA41" i="15"/>
  <c r="G45" i="15"/>
  <c r="H42" i="15"/>
  <c r="BH42" i="15"/>
  <c r="BE42" i="15"/>
  <c r="AP42" i="15"/>
  <c r="AS42" i="15"/>
  <c r="AV42" i="15"/>
  <c r="AY42" i="15"/>
  <c r="BB42" i="15"/>
  <c r="AM42" i="15"/>
  <c r="X42" i="15"/>
  <c r="U42" i="15"/>
  <c r="R42" i="15"/>
  <c r="O42" i="15"/>
  <c r="AD42" i="15"/>
  <c r="AA42" i="15"/>
  <c r="AJ42" i="15"/>
  <c r="AG42" i="15"/>
  <c r="G43" i="15"/>
  <c r="G33" i="32"/>
  <c r="H33" i="32"/>
  <c r="G36" i="32"/>
  <c r="H36" i="32"/>
  <c r="G31" i="32"/>
  <c r="H31" i="32"/>
  <c r="G34" i="32"/>
  <c r="H34" i="32"/>
  <c r="G37" i="32"/>
  <c r="H37" i="32"/>
  <c r="G38" i="32"/>
  <c r="H38" i="32"/>
  <c r="G39" i="32"/>
  <c r="H39" i="32"/>
  <c r="F40" i="15"/>
  <c r="F39" i="15"/>
  <c r="F38" i="15"/>
  <c r="F37" i="15"/>
  <c r="F36" i="15"/>
  <c r="F35" i="15"/>
  <c r="F34" i="15"/>
  <c r="F33" i="15"/>
  <c r="F32" i="15"/>
  <c r="F31" i="15"/>
  <c r="F30" i="15"/>
  <c r="F29" i="15"/>
  <c r="F28" i="15"/>
  <c r="F27" i="15"/>
  <c r="F26" i="15"/>
  <c r="F25" i="15"/>
  <c r="F24" i="15"/>
  <c r="F23" i="15"/>
  <c r="F22" i="15"/>
  <c r="F21" i="15"/>
  <c r="F20" i="15"/>
  <c r="F19" i="15"/>
  <c r="F18" i="15"/>
  <c r="F17" i="15"/>
  <c r="G17" i="15"/>
  <c r="F16" i="15"/>
  <c r="G16" i="15"/>
  <c r="F15" i="15"/>
  <c r="G15" i="15"/>
  <c r="F14" i="15"/>
  <c r="E40" i="15"/>
  <c r="E39" i="15"/>
  <c r="E38" i="15"/>
  <c r="E37" i="15"/>
  <c r="E36" i="15"/>
  <c r="E35" i="15"/>
  <c r="E34" i="15"/>
  <c r="E33" i="15"/>
  <c r="E32" i="15"/>
  <c r="E31" i="15"/>
  <c r="E30" i="15"/>
  <c r="E29" i="15"/>
  <c r="E28" i="15"/>
  <c r="E27" i="15"/>
  <c r="E26" i="15"/>
  <c r="E25" i="15"/>
  <c r="E24" i="15"/>
  <c r="E23" i="15"/>
  <c r="E22" i="15"/>
  <c r="E21" i="15"/>
  <c r="E20" i="15"/>
  <c r="E19" i="15"/>
  <c r="E18" i="15"/>
  <c r="E14" i="15"/>
  <c r="H47" i="15"/>
  <c r="H48" i="15"/>
  <c r="BF47" i="15"/>
  <c r="BI47" i="15"/>
  <c r="AQ47" i="15"/>
  <c r="AT47" i="15"/>
  <c r="AW47" i="15"/>
  <c r="BC47" i="15"/>
  <c r="AZ47" i="15"/>
  <c r="AN47" i="15"/>
  <c r="AK47" i="15"/>
  <c r="AH47" i="15"/>
  <c r="Y47" i="15"/>
  <c r="V47" i="15"/>
  <c r="S47" i="15"/>
  <c r="P47" i="15"/>
  <c r="AE47" i="15"/>
  <c r="AB47" i="15"/>
  <c r="H17" i="15"/>
  <c r="BE17" i="15"/>
  <c r="BH17" i="15"/>
  <c r="AP17" i="15"/>
  <c r="AS17" i="15"/>
  <c r="AV17" i="15"/>
  <c r="AY17" i="15"/>
  <c r="BB17" i="15"/>
  <c r="AM17" i="15"/>
  <c r="AJ17" i="15"/>
  <c r="AG17" i="15"/>
  <c r="X17" i="15"/>
  <c r="U17" i="15"/>
  <c r="R17" i="15"/>
  <c r="O17" i="15"/>
  <c r="AD17" i="15"/>
  <c r="AA17" i="15"/>
  <c r="BI42" i="15"/>
  <c r="BF42" i="15"/>
  <c r="AQ42" i="15"/>
  <c r="AT42" i="15"/>
  <c r="AW42" i="15"/>
  <c r="AZ42" i="15"/>
  <c r="BC42" i="15"/>
  <c r="AN42" i="15"/>
  <c r="AE42" i="15"/>
  <c r="AB42" i="15"/>
  <c r="AK42" i="15"/>
  <c r="AH42" i="15"/>
  <c r="P42" i="15"/>
  <c r="S42" i="15"/>
  <c r="Y42" i="15"/>
  <c r="V42" i="15"/>
  <c r="H15" i="15"/>
  <c r="BE15" i="15"/>
  <c r="BH15" i="15"/>
  <c r="AY15" i="15"/>
  <c r="AS15" i="15"/>
  <c r="AV15" i="15"/>
  <c r="AP15" i="15"/>
  <c r="BB15" i="15"/>
  <c r="AM15" i="15"/>
  <c r="AJ15" i="15"/>
  <c r="AG15" i="15"/>
  <c r="X15" i="15"/>
  <c r="U15" i="15"/>
  <c r="R15" i="15"/>
  <c r="O15" i="15"/>
  <c r="AD15" i="15"/>
  <c r="AA15" i="15"/>
  <c r="BF41" i="15"/>
  <c r="BI41" i="15"/>
  <c r="AQ41" i="15"/>
  <c r="AT41" i="15"/>
  <c r="AW41" i="15"/>
  <c r="AZ41" i="15"/>
  <c r="BC41" i="15"/>
  <c r="AN41" i="15"/>
  <c r="AK41" i="15"/>
  <c r="AH41" i="15"/>
  <c r="Y41" i="15"/>
  <c r="V41" i="15"/>
  <c r="S41" i="15"/>
  <c r="P41" i="15"/>
  <c r="AE41" i="15"/>
  <c r="AB41" i="15"/>
  <c r="H45" i="15"/>
  <c r="BE45" i="15"/>
  <c r="BH45" i="15"/>
  <c r="AY45" i="15"/>
  <c r="AS45" i="15"/>
  <c r="AP45" i="15"/>
  <c r="AV45" i="15"/>
  <c r="BB45" i="15"/>
  <c r="AM45" i="15"/>
  <c r="AJ45" i="15"/>
  <c r="AG45" i="15"/>
  <c r="X45" i="15"/>
  <c r="U45" i="15"/>
  <c r="R45" i="15"/>
  <c r="O45" i="15"/>
  <c r="AA45" i="15"/>
  <c r="AD45" i="15"/>
  <c r="BI48" i="15"/>
  <c r="BF48" i="15"/>
  <c r="AQ48" i="15"/>
  <c r="AT48" i="15"/>
  <c r="AW48" i="15"/>
  <c r="AZ48" i="15"/>
  <c r="BC48" i="15"/>
  <c r="AN48" i="15"/>
  <c r="AE48" i="15"/>
  <c r="AB48" i="15"/>
  <c r="AK48" i="15"/>
  <c r="AH48" i="15"/>
  <c r="V48" i="15"/>
  <c r="Y48" i="15"/>
  <c r="S48" i="15"/>
  <c r="P48" i="15"/>
  <c r="H16" i="15"/>
  <c r="BH16" i="15"/>
  <c r="BE16" i="15"/>
  <c r="AP16" i="15"/>
  <c r="AS16" i="15"/>
  <c r="AV16" i="15"/>
  <c r="BB16" i="15"/>
  <c r="AM16" i="15"/>
  <c r="AY16" i="15"/>
  <c r="X16" i="15"/>
  <c r="U16" i="15"/>
  <c r="R16" i="15"/>
  <c r="O16" i="15"/>
  <c r="AD16" i="15"/>
  <c r="AA16" i="15"/>
  <c r="AJ16" i="15"/>
  <c r="AG16" i="15"/>
  <c r="H43" i="15"/>
  <c r="BE43" i="15"/>
  <c r="BH43" i="15"/>
  <c r="AP43" i="15"/>
  <c r="AS43" i="15"/>
  <c r="AV43" i="15"/>
  <c r="BB43" i="15"/>
  <c r="AM43" i="15"/>
  <c r="AY43" i="15"/>
  <c r="AJ43" i="15"/>
  <c r="AG43" i="15"/>
  <c r="X43" i="15"/>
  <c r="U43" i="15"/>
  <c r="R43" i="15"/>
  <c r="O43" i="15"/>
  <c r="AA43" i="15"/>
  <c r="AD43" i="15"/>
  <c r="BI44" i="15"/>
  <c r="BF44" i="15"/>
  <c r="AQ44" i="15"/>
  <c r="AT44" i="15"/>
  <c r="AW44" i="15"/>
  <c r="AZ44" i="15"/>
  <c r="BC44" i="15"/>
  <c r="AN44" i="15"/>
  <c r="AE44" i="15"/>
  <c r="AB44" i="15"/>
  <c r="AK44" i="15"/>
  <c r="AH44" i="15"/>
  <c r="Y44" i="15"/>
  <c r="P44" i="15"/>
  <c r="V44" i="15"/>
  <c r="S44" i="15"/>
  <c r="G18" i="15"/>
  <c r="G22" i="15"/>
  <c r="G26" i="15"/>
  <c r="G30" i="15"/>
  <c r="G34" i="15"/>
  <c r="G21" i="15"/>
  <c r="G25" i="15"/>
  <c r="G29" i="15"/>
  <c r="G33" i="15"/>
  <c r="G37" i="15"/>
  <c r="G38" i="15"/>
  <c r="G19" i="15"/>
  <c r="G23" i="15"/>
  <c r="G27" i="15"/>
  <c r="G31" i="15"/>
  <c r="G35" i="15"/>
  <c r="G39" i="15"/>
  <c r="G14" i="15"/>
  <c r="G20" i="15"/>
  <c r="G24" i="15"/>
  <c r="G28" i="15"/>
  <c r="G32" i="15"/>
  <c r="G36" i="15"/>
  <c r="G40" i="15"/>
  <c r="F6" i="11"/>
  <c r="G6" i="11"/>
  <c r="F7" i="11"/>
  <c r="G7" i="11"/>
  <c r="F8" i="11"/>
  <c r="G8" i="11"/>
  <c r="F9" i="11"/>
  <c r="G9" i="11"/>
  <c r="F10" i="11"/>
  <c r="G10" i="11"/>
  <c r="F11" i="11"/>
  <c r="G11" i="11"/>
  <c r="F12" i="11"/>
  <c r="G12" i="11"/>
  <c r="F13" i="11"/>
  <c r="G13" i="11"/>
  <c r="F14" i="11"/>
  <c r="G14" i="11"/>
  <c r="F37" i="11"/>
  <c r="G37" i="11"/>
  <c r="F40" i="11"/>
  <c r="G40" i="11"/>
  <c r="G39" i="11"/>
  <c r="F39" i="11"/>
  <c r="H31" i="15"/>
  <c r="BE31" i="15"/>
  <c r="BH31" i="15"/>
  <c r="AV31" i="15"/>
  <c r="AP31" i="15"/>
  <c r="AS31" i="15"/>
  <c r="AY31" i="15"/>
  <c r="BB31" i="15"/>
  <c r="AM31" i="15"/>
  <c r="AJ31" i="15"/>
  <c r="AG31" i="15"/>
  <c r="X31" i="15"/>
  <c r="U31" i="15"/>
  <c r="R31" i="15"/>
  <c r="O31" i="15"/>
  <c r="AD31" i="15"/>
  <c r="AA31" i="15"/>
  <c r="H26" i="15"/>
  <c r="BH26" i="15"/>
  <c r="BE26" i="15"/>
  <c r="AP26" i="15"/>
  <c r="AS26" i="15"/>
  <c r="AV26" i="15"/>
  <c r="AY26" i="15"/>
  <c r="BB26" i="15"/>
  <c r="AM26" i="15"/>
  <c r="X26" i="15"/>
  <c r="U26" i="15"/>
  <c r="R26" i="15"/>
  <c r="O26" i="15"/>
  <c r="AD26" i="15"/>
  <c r="AA26" i="15"/>
  <c r="AJ26" i="15"/>
  <c r="AG26" i="15"/>
  <c r="BI16" i="15"/>
  <c r="BF16" i="15"/>
  <c r="AQ16" i="15"/>
  <c r="AT16" i="15"/>
  <c r="AW16" i="15"/>
  <c r="AZ16" i="15"/>
  <c r="BC16" i="15"/>
  <c r="AN16" i="15"/>
  <c r="AE16" i="15"/>
  <c r="AB16" i="15"/>
  <c r="AK16" i="15"/>
  <c r="AH16" i="15"/>
  <c r="S16" i="15"/>
  <c r="V16" i="15"/>
  <c r="P16" i="15"/>
  <c r="Y16" i="15"/>
  <c r="H36" i="15"/>
  <c r="BH36" i="15"/>
  <c r="BE36" i="15"/>
  <c r="AP36" i="15"/>
  <c r="AS36" i="15"/>
  <c r="AV36" i="15"/>
  <c r="AY36" i="15"/>
  <c r="BB36" i="15"/>
  <c r="AM36" i="15"/>
  <c r="X36" i="15"/>
  <c r="U36" i="15"/>
  <c r="R36" i="15"/>
  <c r="O36" i="15"/>
  <c r="AD36" i="15"/>
  <c r="AA36" i="15"/>
  <c r="AJ36" i="15"/>
  <c r="AG36" i="15"/>
  <c r="H20" i="15"/>
  <c r="BH20" i="15"/>
  <c r="BE20" i="15"/>
  <c r="AP20" i="15"/>
  <c r="AS20" i="15"/>
  <c r="AV20" i="15"/>
  <c r="AY20" i="15"/>
  <c r="BB20" i="15"/>
  <c r="AM20" i="15"/>
  <c r="X20" i="15"/>
  <c r="U20" i="15"/>
  <c r="R20" i="15"/>
  <c r="O20" i="15"/>
  <c r="AD20" i="15"/>
  <c r="AA20" i="15"/>
  <c r="AJ20" i="15"/>
  <c r="AG20" i="15"/>
  <c r="H38" i="15"/>
  <c r="BH38" i="15"/>
  <c r="BE38" i="15"/>
  <c r="AP38" i="15"/>
  <c r="AS38" i="15"/>
  <c r="AV38" i="15"/>
  <c r="AY38" i="15"/>
  <c r="BB38" i="15"/>
  <c r="AM38" i="15"/>
  <c r="X38" i="15"/>
  <c r="U38" i="15"/>
  <c r="R38" i="15"/>
  <c r="O38" i="15"/>
  <c r="AD38" i="15"/>
  <c r="AA38" i="15"/>
  <c r="AJ38" i="15"/>
  <c r="AG38" i="15"/>
  <c r="H25" i="15"/>
  <c r="BE25" i="15"/>
  <c r="BH25" i="15"/>
  <c r="AP25" i="15"/>
  <c r="AS25" i="15"/>
  <c r="AV25" i="15"/>
  <c r="AY25" i="15"/>
  <c r="BB25" i="15"/>
  <c r="AM25" i="15"/>
  <c r="AJ25" i="15"/>
  <c r="AG25" i="15"/>
  <c r="X25" i="15"/>
  <c r="U25" i="15"/>
  <c r="R25" i="15"/>
  <c r="O25" i="15"/>
  <c r="AD25" i="15"/>
  <c r="AA25" i="15"/>
  <c r="H32" i="15"/>
  <c r="BH32" i="15"/>
  <c r="BE32" i="15"/>
  <c r="AP32" i="15"/>
  <c r="AS32" i="15"/>
  <c r="AV32" i="15"/>
  <c r="AY32" i="15"/>
  <c r="BB32" i="15"/>
  <c r="AM32" i="15"/>
  <c r="X32" i="15"/>
  <c r="U32" i="15"/>
  <c r="R32" i="15"/>
  <c r="O32" i="15"/>
  <c r="AD32" i="15"/>
  <c r="AA32" i="15"/>
  <c r="AJ32" i="15"/>
  <c r="AG32" i="15"/>
  <c r="BH14" i="15"/>
  <c r="BE14" i="15"/>
  <c r="AP14" i="15"/>
  <c r="AS14" i="15"/>
  <c r="AV14" i="15"/>
  <c r="AY14" i="15"/>
  <c r="BB14" i="15"/>
  <c r="AM14" i="15"/>
  <c r="X14" i="15"/>
  <c r="U14" i="15"/>
  <c r="R14" i="15"/>
  <c r="O14" i="15"/>
  <c r="AD14" i="15"/>
  <c r="AA14" i="15"/>
  <c r="AJ14" i="15"/>
  <c r="AG14" i="15"/>
  <c r="H27" i="15"/>
  <c r="BE27" i="15"/>
  <c r="BH27" i="15"/>
  <c r="AP27" i="15"/>
  <c r="AS27" i="15"/>
  <c r="AV27" i="15"/>
  <c r="BB27" i="15"/>
  <c r="AM27" i="15"/>
  <c r="AY27" i="15"/>
  <c r="AJ27" i="15"/>
  <c r="AG27" i="15"/>
  <c r="X27" i="15"/>
  <c r="U27" i="15"/>
  <c r="R27" i="15"/>
  <c r="O27" i="15"/>
  <c r="AA27" i="15"/>
  <c r="AD27" i="15"/>
  <c r="H37" i="15"/>
  <c r="BE37" i="15"/>
  <c r="BH37" i="15"/>
  <c r="AY37" i="15"/>
  <c r="AP37" i="15"/>
  <c r="AV37" i="15"/>
  <c r="AS37" i="15"/>
  <c r="BB37" i="15"/>
  <c r="AM37" i="15"/>
  <c r="AJ37" i="15"/>
  <c r="AG37" i="15"/>
  <c r="X37" i="15"/>
  <c r="U37" i="15"/>
  <c r="R37" i="15"/>
  <c r="O37" i="15"/>
  <c r="AA37" i="15"/>
  <c r="AD37" i="15"/>
  <c r="H21" i="15"/>
  <c r="BE21" i="15"/>
  <c r="BH21" i="15"/>
  <c r="AS21" i="15"/>
  <c r="AY21" i="15"/>
  <c r="AP21" i="15"/>
  <c r="AV21" i="15"/>
  <c r="BB21" i="15"/>
  <c r="AM21" i="15"/>
  <c r="AJ21" i="15"/>
  <c r="AG21" i="15"/>
  <c r="X21" i="15"/>
  <c r="U21" i="15"/>
  <c r="R21" i="15"/>
  <c r="O21" i="15"/>
  <c r="AA21" i="15"/>
  <c r="AD21" i="15"/>
  <c r="H22" i="15"/>
  <c r="BH22" i="15"/>
  <c r="BE22" i="15"/>
  <c r="AP22" i="15"/>
  <c r="AS22" i="15"/>
  <c r="AV22" i="15"/>
  <c r="AY22" i="15"/>
  <c r="BB22" i="15"/>
  <c r="AM22" i="15"/>
  <c r="X22" i="15"/>
  <c r="U22" i="15"/>
  <c r="R22" i="15"/>
  <c r="O22" i="15"/>
  <c r="AD22" i="15"/>
  <c r="AA22" i="15"/>
  <c r="AJ22" i="15"/>
  <c r="AG22" i="15"/>
  <c r="BF45" i="15"/>
  <c r="BI45" i="15"/>
  <c r="AQ45" i="15"/>
  <c r="AT45" i="15"/>
  <c r="AW45" i="15"/>
  <c r="AZ45" i="15"/>
  <c r="AN45" i="15"/>
  <c r="BC45" i="15"/>
  <c r="AH45" i="15"/>
  <c r="Y45" i="15"/>
  <c r="V45" i="15"/>
  <c r="S45" i="15"/>
  <c r="P45" i="15"/>
  <c r="AE45" i="15"/>
  <c r="AB45" i="15"/>
  <c r="AK45" i="15"/>
  <c r="H39" i="15"/>
  <c r="BE39" i="15"/>
  <c r="BH39" i="15"/>
  <c r="AP39" i="15"/>
  <c r="AS39" i="15"/>
  <c r="AV39" i="15"/>
  <c r="AY39" i="15"/>
  <c r="BB39" i="15"/>
  <c r="AM39" i="15"/>
  <c r="AJ39" i="15"/>
  <c r="AG39" i="15"/>
  <c r="X39" i="15"/>
  <c r="U39" i="15"/>
  <c r="R39" i="15"/>
  <c r="O39" i="15"/>
  <c r="AD39" i="15"/>
  <c r="AA39" i="15"/>
  <c r="H34" i="15"/>
  <c r="BH34" i="15"/>
  <c r="BE34" i="15"/>
  <c r="AP34" i="15"/>
  <c r="AS34" i="15"/>
  <c r="AV34" i="15"/>
  <c r="AY34" i="15"/>
  <c r="BB34" i="15"/>
  <c r="AM34" i="15"/>
  <c r="X34" i="15"/>
  <c r="U34" i="15"/>
  <c r="R34" i="15"/>
  <c r="O34" i="15"/>
  <c r="AD34" i="15"/>
  <c r="AA34" i="15"/>
  <c r="AJ34" i="15"/>
  <c r="AG34" i="15"/>
  <c r="BF15" i="15"/>
  <c r="BI15" i="15"/>
  <c r="AQ15" i="15"/>
  <c r="AT15" i="15"/>
  <c r="AW15" i="15"/>
  <c r="BC15" i="15"/>
  <c r="AN15" i="15"/>
  <c r="AZ15" i="15"/>
  <c r="Y15" i="15"/>
  <c r="V15" i="15"/>
  <c r="S15" i="15"/>
  <c r="P15" i="15"/>
  <c r="AE15" i="15"/>
  <c r="AB15" i="15"/>
  <c r="AK15" i="15"/>
  <c r="AH15" i="15"/>
  <c r="H28" i="15"/>
  <c r="BH28" i="15"/>
  <c r="BE28" i="15"/>
  <c r="AP28" i="15"/>
  <c r="AS28" i="15"/>
  <c r="AV28" i="15"/>
  <c r="AY28" i="15"/>
  <c r="BB28" i="15"/>
  <c r="AM28" i="15"/>
  <c r="X28" i="15"/>
  <c r="U28" i="15"/>
  <c r="R28" i="15"/>
  <c r="O28" i="15"/>
  <c r="AD28" i="15"/>
  <c r="AA28" i="15"/>
  <c r="AJ28" i="15"/>
  <c r="AG28" i="15"/>
  <c r="H23" i="15"/>
  <c r="BE23" i="15"/>
  <c r="BH23" i="15"/>
  <c r="AY23" i="15"/>
  <c r="AS23" i="15"/>
  <c r="AP23" i="15"/>
  <c r="AV23" i="15"/>
  <c r="BB23" i="15"/>
  <c r="AM23" i="15"/>
  <c r="AJ23" i="15"/>
  <c r="AG23" i="15"/>
  <c r="X23" i="15"/>
  <c r="U23" i="15"/>
  <c r="R23" i="15"/>
  <c r="O23" i="15"/>
  <c r="AD23" i="15"/>
  <c r="AA23" i="15"/>
  <c r="H33" i="15"/>
  <c r="BE33" i="15"/>
  <c r="BH33" i="15"/>
  <c r="AP33" i="15"/>
  <c r="AS33" i="15"/>
  <c r="AV33" i="15"/>
  <c r="AY33" i="15"/>
  <c r="BB33" i="15"/>
  <c r="AM33" i="15"/>
  <c r="AJ33" i="15"/>
  <c r="AG33" i="15"/>
  <c r="X33" i="15"/>
  <c r="U33" i="15"/>
  <c r="R33" i="15"/>
  <c r="O33" i="15"/>
  <c r="AD33" i="15"/>
  <c r="AA33" i="15"/>
  <c r="H18" i="15"/>
  <c r="BH18" i="15"/>
  <c r="BE18" i="15"/>
  <c r="AP18" i="15"/>
  <c r="AS18" i="15"/>
  <c r="AV18" i="15"/>
  <c r="BB18" i="15"/>
  <c r="AM18" i="15"/>
  <c r="AY18" i="15"/>
  <c r="X18" i="15"/>
  <c r="U18" i="15"/>
  <c r="R18" i="15"/>
  <c r="O18" i="15"/>
  <c r="AD18" i="15"/>
  <c r="AA18" i="15"/>
  <c r="AJ18" i="15"/>
  <c r="AG18" i="15"/>
  <c r="H40" i="15"/>
  <c r="BH40" i="15"/>
  <c r="BE40" i="15"/>
  <c r="AP40" i="15"/>
  <c r="AS40" i="15"/>
  <c r="AV40" i="15"/>
  <c r="AY40" i="15"/>
  <c r="BB40" i="15"/>
  <c r="AM40" i="15"/>
  <c r="X40" i="15"/>
  <c r="U40" i="15"/>
  <c r="R40" i="15"/>
  <c r="O40" i="15"/>
  <c r="AD40" i="15"/>
  <c r="AA40" i="15"/>
  <c r="AJ40" i="15"/>
  <c r="AG40" i="15"/>
  <c r="H24" i="15"/>
  <c r="BH24" i="15"/>
  <c r="BE24" i="15"/>
  <c r="AP24" i="15"/>
  <c r="AS24" i="15"/>
  <c r="AV24" i="15"/>
  <c r="BB24" i="15"/>
  <c r="AM24" i="15"/>
  <c r="AY24" i="15"/>
  <c r="X24" i="15"/>
  <c r="U24" i="15"/>
  <c r="R24" i="15"/>
  <c r="O24" i="15"/>
  <c r="AD24" i="15"/>
  <c r="AA24" i="15"/>
  <c r="AJ24" i="15"/>
  <c r="AG24" i="15"/>
  <c r="H35" i="15"/>
  <c r="BE35" i="15"/>
  <c r="BH35" i="15"/>
  <c r="AP35" i="15"/>
  <c r="AS35" i="15"/>
  <c r="AV35" i="15"/>
  <c r="BB35" i="15"/>
  <c r="AM35" i="15"/>
  <c r="AY35" i="15"/>
  <c r="AJ35" i="15"/>
  <c r="AG35" i="15"/>
  <c r="X35" i="15"/>
  <c r="U35" i="15"/>
  <c r="R35" i="15"/>
  <c r="O35" i="15"/>
  <c r="AA35" i="15"/>
  <c r="AD35" i="15"/>
  <c r="H19" i="15"/>
  <c r="BE19" i="15"/>
  <c r="BH19" i="15"/>
  <c r="AP19" i="15"/>
  <c r="AS19" i="15"/>
  <c r="AV19" i="15"/>
  <c r="AY19" i="15"/>
  <c r="BB19" i="15"/>
  <c r="AM19" i="15"/>
  <c r="AJ19" i="15"/>
  <c r="AG19" i="15"/>
  <c r="X19" i="15"/>
  <c r="U19" i="15"/>
  <c r="R19" i="15"/>
  <c r="O19" i="15"/>
  <c r="AA19" i="15"/>
  <c r="AD19" i="15"/>
  <c r="H29" i="15"/>
  <c r="BE29" i="15"/>
  <c r="BH29" i="15"/>
  <c r="AY29" i="15"/>
  <c r="AP29" i="15"/>
  <c r="AV29" i="15"/>
  <c r="AS29" i="15"/>
  <c r="BB29" i="15"/>
  <c r="AM29" i="15"/>
  <c r="AJ29" i="15"/>
  <c r="AG29" i="15"/>
  <c r="X29" i="15"/>
  <c r="U29" i="15"/>
  <c r="R29" i="15"/>
  <c r="O29" i="15"/>
  <c r="AA29" i="15"/>
  <c r="AD29" i="15"/>
  <c r="H30" i="15"/>
  <c r="BH30" i="15"/>
  <c r="BE30" i="15"/>
  <c r="AP30" i="15"/>
  <c r="AS30" i="15"/>
  <c r="AV30" i="15"/>
  <c r="AY30" i="15"/>
  <c r="BB30" i="15"/>
  <c r="AM30" i="15"/>
  <c r="X30" i="15"/>
  <c r="U30" i="15"/>
  <c r="R30" i="15"/>
  <c r="O30" i="15"/>
  <c r="AD30" i="15"/>
  <c r="AA30" i="15"/>
  <c r="AJ30" i="15"/>
  <c r="AG30" i="15"/>
  <c r="BF43" i="15"/>
  <c r="BI43" i="15"/>
  <c r="AQ43" i="15"/>
  <c r="AT43" i="15"/>
  <c r="AW43" i="15"/>
  <c r="AZ43" i="15"/>
  <c r="BC43" i="15"/>
  <c r="AN43" i="15"/>
  <c r="AH43" i="15"/>
  <c r="Y43" i="15"/>
  <c r="V43" i="15"/>
  <c r="S43" i="15"/>
  <c r="P43" i="15"/>
  <c r="AE43" i="15"/>
  <c r="AB43" i="15"/>
  <c r="AK43" i="15"/>
  <c r="BF17" i="15"/>
  <c r="BI17" i="15"/>
  <c r="AQ17" i="15"/>
  <c r="AT17" i="15"/>
  <c r="AW17" i="15"/>
  <c r="AZ17" i="15"/>
  <c r="BC17" i="15"/>
  <c r="AN17" i="15"/>
  <c r="AK17" i="15"/>
  <c r="AH17" i="15"/>
  <c r="Y17" i="15"/>
  <c r="V17" i="15"/>
  <c r="S17" i="15"/>
  <c r="P17" i="15"/>
  <c r="AE17" i="15"/>
  <c r="AB17" i="15"/>
  <c r="H39" i="11"/>
  <c r="N39" i="11"/>
  <c r="K39" i="11"/>
  <c r="K9" i="11"/>
  <c r="N9" i="11"/>
  <c r="K12" i="11"/>
  <c r="N12" i="11"/>
  <c r="N8" i="11"/>
  <c r="K8" i="11"/>
  <c r="H37" i="11"/>
  <c r="K37" i="11"/>
  <c r="N37" i="11"/>
  <c r="K11" i="11"/>
  <c r="N11" i="11"/>
  <c r="N7" i="11"/>
  <c r="K7" i="11"/>
  <c r="N13" i="11"/>
  <c r="K13" i="11"/>
  <c r="H40" i="11"/>
  <c r="N40" i="11"/>
  <c r="K40" i="11"/>
  <c r="N14" i="11"/>
  <c r="K14" i="11"/>
  <c r="N10" i="11"/>
  <c r="K10" i="11"/>
  <c r="K6" i="11"/>
  <c r="N6" i="11"/>
  <c r="BF35" i="15"/>
  <c r="BI35" i="15"/>
  <c r="AQ35" i="15"/>
  <c r="AT35" i="15"/>
  <c r="AW35" i="15"/>
  <c r="AN35" i="15"/>
  <c r="AZ35" i="15"/>
  <c r="BC35" i="15"/>
  <c r="AH35" i="15"/>
  <c r="Y35" i="15"/>
  <c r="V35" i="15"/>
  <c r="S35" i="15"/>
  <c r="P35" i="15"/>
  <c r="AE35" i="15"/>
  <c r="AB35" i="15"/>
  <c r="AK35" i="15"/>
  <c r="BF33" i="15"/>
  <c r="BI33" i="15"/>
  <c r="AQ33" i="15"/>
  <c r="AT33" i="15"/>
  <c r="AW33" i="15"/>
  <c r="AZ33" i="15"/>
  <c r="BC33" i="15"/>
  <c r="AN33" i="15"/>
  <c r="AK33" i="15"/>
  <c r="AH33" i="15"/>
  <c r="Y33" i="15"/>
  <c r="V33" i="15"/>
  <c r="S33" i="15"/>
  <c r="P33" i="15"/>
  <c r="AE33" i="15"/>
  <c r="AB33" i="15"/>
  <c r="BF39" i="15"/>
  <c r="BI39" i="15"/>
  <c r="AQ39" i="15"/>
  <c r="AT39" i="15"/>
  <c r="AW39" i="15"/>
  <c r="AZ39" i="15"/>
  <c r="BC39" i="15"/>
  <c r="AN39" i="15"/>
  <c r="AH39" i="15"/>
  <c r="Y39" i="15"/>
  <c r="V39" i="15"/>
  <c r="S39" i="15"/>
  <c r="P39" i="15"/>
  <c r="AE39" i="15"/>
  <c r="AB39" i="15"/>
  <c r="AK39" i="15"/>
  <c r="BF27" i="15"/>
  <c r="BI27" i="15"/>
  <c r="AQ27" i="15"/>
  <c r="AT27" i="15"/>
  <c r="AW27" i="15"/>
  <c r="BC27" i="15"/>
  <c r="AZ27" i="15"/>
  <c r="AN27" i="15"/>
  <c r="AH27" i="15"/>
  <c r="Y27" i="15"/>
  <c r="V27" i="15"/>
  <c r="S27" i="15"/>
  <c r="P27" i="15"/>
  <c r="AE27" i="15"/>
  <c r="AB27" i="15"/>
  <c r="AK27" i="15"/>
  <c r="AD49" i="15"/>
  <c r="H17" i="48"/>
  <c r="H19" i="48"/>
  <c r="E71" i="13"/>
  <c r="X49" i="15"/>
  <c r="AV49" i="15"/>
  <c r="H17" i="56"/>
  <c r="H19" i="56"/>
  <c r="E51" i="13"/>
  <c r="BH49" i="15"/>
  <c r="BI20" i="15"/>
  <c r="BF20" i="15"/>
  <c r="AQ20" i="15"/>
  <c r="AT20" i="15"/>
  <c r="AW20" i="15"/>
  <c r="AZ20" i="15"/>
  <c r="BC20" i="15"/>
  <c r="AN20" i="15"/>
  <c r="AE20" i="15"/>
  <c r="AB20" i="15"/>
  <c r="AK20" i="15"/>
  <c r="AH20" i="15"/>
  <c r="Y20" i="15"/>
  <c r="P20" i="15"/>
  <c r="V20" i="15"/>
  <c r="S20" i="15"/>
  <c r="BI30" i="15"/>
  <c r="BF30" i="15"/>
  <c r="AQ30" i="15"/>
  <c r="AT30" i="15"/>
  <c r="AW30" i="15"/>
  <c r="AZ30" i="15"/>
  <c r="BC30" i="15"/>
  <c r="AN30" i="15"/>
  <c r="AE30" i="15"/>
  <c r="AB30" i="15"/>
  <c r="AK30" i="15"/>
  <c r="AH30" i="15"/>
  <c r="V30" i="15"/>
  <c r="S30" i="15"/>
  <c r="Y30" i="15"/>
  <c r="P30" i="15"/>
  <c r="BI24" i="15"/>
  <c r="BF24" i="15"/>
  <c r="AQ24" i="15"/>
  <c r="AT24" i="15"/>
  <c r="AW24" i="15"/>
  <c r="AZ24" i="15"/>
  <c r="BC24" i="15"/>
  <c r="AN24" i="15"/>
  <c r="AE24" i="15"/>
  <c r="AB24" i="15"/>
  <c r="AK24" i="15"/>
  <c r="AH24" i="15"/>
  <c r="S24" i="15"/>
  <c r="P24" i="15"/>
  <c r="V24" i="15"/>
  <c r="Y24" i="15"/>
  <c r="BF23" i="15"/>
  <c r="BI23" i="15"/>
  <c r="AQ23" i="15"/>
  <c r="AT23" i="15"/>
  <c r="AW23" i="15"/>
  <c r="AN23" i="15"/>
  <c r="BC23" i="15"/>
  <c r="AZ23" i="15"/>
  <c r="AH23" i="15"/>
  <c r="Y23" i="15"/>
  <c r="V23" i="15"/>
  <c r="S23" i="15"/>
  <c r="P23" i="15"/>
  <c r="AE23" i="15"/>
  <c r="AB23" i="15"/>
  <c r="AK23" i="15"/>
  <c r="BI22" i="15"/>
  <c r="BF22" i="15"/>
  <c r="AQ22" i="15"/>
  <c r="AT22" i="15"/>
  <c r="AW22" i="15"/>
  <c r="AZ22" i="15"/>
  <c r="BC22" i="15"/>
  <c r="AN22" i="15"/>
  <c r="AE22" i="15"/>
  <c r="AB22" i="15"/>
  <c r="AK22" i="15"/>
  <c r="AH22" i="15"/>
  <c r="V22" i="15"/>
  <c r="Y22" i="15"/>
  <c r="S22" i="15"/>
  <c r="P22" i="15"/>
  <c r="AG49" i="15"/>
  <c r="H17" i="49"/>
  <c r="H19" i="49"/>
  <c r="E73" i="13"/>
  <c r="O49" i="15"/>
  <c r="AM49" i="15"/>
  <c r="H17" i="55"/>
  <c r="H19" i="55"/>
  <c r="E45" i="13"/>
  <c r="AS49" i="15"/>
  <c r="H17" i="52"/>
  <c r="H19" i="52"/>
  <c r="E49" i="13"/>
  <c r="BI32" i="15"/>
  <c r="BF32" i="15"/>
  <c r="AQ32" i="15"/>
  <c r="AT32" i="15"/>
  <c r="AW32" i="15"/>
  <c r="AZ32" i="15"/>
  <c r="BC32" i="15"/>
  <c r="AN32" i="15"/>
  <c r="AE32" i="15"/>
  <c r="AB32" i="15"/>
  <c r="AK32" i="15"/>
  <c r="AH32" i="15"/>
  <c r="S32" i="15"/>
  <c r="V32" i="15"/>
  <c r="P32" i="15"/>
  <c r="Y32" i="15"/>
  <c r="BI36" i="15"/>
  <c r="BF36" i="15"/>
  <c r="AQ36" i="15"/>
  <c r="AT36" i="15"/>
  <c r="AW36" i="15"/>
  <c r="AZ36" i="15"/>
  <c r="BC36" i="15"/>
  <c r="AN36" i="15"/>
  <c r="AE36" i="15"/>
  <c r="AB36" i="15"/>
  <c r="AK36" i="15"/>
  <c r="AH36" i="15"/>
  <c r="Y36" i="15"/>
  <c r="P36" i="15"/>
  <c r="V36" i="15"/>
  <c r="S36" i="15"/>
  <c r="BF29" i="15"/>
  <c r="BI29" i="15"/>
  <c r="AQ29" i="15"/>
  <c r="AT29" i="15"/>
  <c r="AW29" i="15"/>
  <c r="AZ29" i="15"/>
  <c r="AN29" i="15"/>
  <c r="BC29" i="15"/>
  <c r="AK29" i="15"/>
  <c r="AH29" i="15"/>
  <c r="Y29" i="15"/>
  <c r="V29" i="15"/>
  <c r="S29" i="15"/>
  <c r="P29" i="15"/>
  <c r="AE29" i="15"/>
  <c r="AB29" i="15"/>
  <c r="BI40" i="15"/>
  <c r="BF40" i="15"/>
  <c r="AQ40" i="15"/>
  <c r="AT40" i="15"/>
  <c r="AW40" i="15"/>
  <c r="AZ40" i="15"/>
  <c r="BC40" i="15"/>
  <c r="AN40" i="15"/>
  <c r="AE40" i="15"/>
  <c r="AB40" i="15"/>
  <c r="AK40" i="15"/>
  <c r="AH40" i="15"/>
  <c r="S40" i="15"/>
  <c r="V40" i="15"/>
  <c r="P40" i="15"/>
  <c r="Y40" i="15"/>
  <c r="BI28" i="15"/>
  <c r="BF28" i="15"/>
  <c r="AQ28" i="15"/>
  <c r="AT28" i="15"/>
  <c r="AW28" i="15"/>
  <c r="AZ28" i="15"/>
  <c r="BC28" i="15"/>
  <c r="AN28" i="15"/>
  <c r="AE28" i="15"/>
  <c r="AB28" i="15"/>
  <c r="AK28" i="15"/>
  <c r="AH28" i="15"/>
  <c r="Y28" i="15"/>
  <c r="V28" i="15"/>
  <c r="P28" i="15"/>
  <c r="S28" i="15"/>
  <c r="BF21" i="15"/>
  <c r="BI21" i="15"/>
  <c r="AQ21" i="15"/>
  <c r="AT21" i="15"/>
  <c r="AW21" i="15"/>
  <c r="AZ21" i="15"/>
  <c r="BC21" i="15"/>
  <c r="AN21" i="15"/>
  <c r="AK21" i="15"/>
  <c r="AH21" i="15"/>
  <c r="Y21" i="15"/>
  <c r="V21" i="15"/>
  <c r="S21" i="15"/>
  <c r="P21" i="15"/>
  <c r="AE21" i="15"/>
  <c r="AB21" i="15"/>
  <c r="AJ49" i="15"/>
  <c r="H17" i="50"/>
  <c r="H19" i="50"/>
  <c r="E75" i="13"/>
  <c r="R49" i="15"/>
  <c r="BB49" i="15"/>
  <c r="H17" i="54"/>
  <c r="H19" i="54"/>
  <c r="E55" i="13"/>
  <c r="AP49" i="15"/>
  <c r="H17" i="51"/>
  <c r="H19" i="51"/>
  <c r="E47" i="13"/>
  <c r="BF25" i="15"/>
  <c r="BI25" i="15"/>
  <c r="AQ25" i="15"/>
  <c r="AT25" i="15"/>
  <c r="AW25" i="15"/>
  <c r="AZ25" i="15"/>
  <c r="AN25" i="15"/>
  <c r="BC25" i="15"/>
  <c r="AK25" i="15"/>
  <c r="AH25" i="15"/>
  <c r="Y25" i="15"/>
  <c r="V25" i="15"/>
  <c r="S25" i="15"/>
  <c r="P25" i="15"/>
  <c r="AE25" i="15"/>
  <c r="AB25" i="15"/>
  <c r="BI26" i="15"/>
  <c r="BF26" i="15"/>
  <c r="AQ26" i="15"/>
  <c r="AT26" i="15"/>
  <c r="AW26" i="15"/>
  <c r="AZ26" i="15"/>
  <c r="BC26" i="15"/>
  <c r="AN26" i="15"/>
  <c r="AE26" i="15"/>
  <c r="AB26" i="15"/>
  <c r="AK26" i="15"/>
  <c r="AH26" i="15"/>
  <c r="P26" i="15"/>
  <c r="Y26" i="15"/>
  <c r="V26" i="15"/>
  <c r="S26" i="15"/>
  <c r="BF19" i="15"/>
  <c r="BI19" i="15"/>
  <c r="AQ19" i="15"/>
  <c r="AT19" i="15"/>
  <c r="AW19" i="15"/>
  <c r="AN19" i="15"/>
  <c r="AZ19" i="15"/>
  <c r="BC19" i="15"/>
  <c r="AH19" i="15"/>
  <c r="Y19" i="15"/>
  <c r="V19" i="15"/>
  <c r="S19" i="15"/>
  <c r="P19" i="15"/>
  <c r="AE19" i="15"/>
  <c r="AB19" i="15"/>
  <c r="AK19" i="15"/>
  <c r="BI18" i="15"/>
  <c r="BF18" i="15"/>
  <c r="AQ18" i="15"/>
  <c r="AT18" i="15"/>
  <c r="AW18" i="15"/>
  <c r="AZ18" i="15"/>
  <c r="BC18" i="15"/>
  <c r="AN18" i="15"/>
  <c r="AE18" i="15"/>
  <c r="AB18" i="15"/>
  <c r="AK18" i="15"/>
  <c r="AH18" i="15"/>
  <c r="P18" i="15"/>
  <c r="Y18" i="15"/>
  <c r="S18" i="15"/>
  <c r="V18" i="15"/>
  <c r="BI34" i="15"/>
  <c r="BF34" i="15"/>
  <c r="AQ34" i="15"/>
  <c r="AT34" i="15"/>
  <c r="AW34" i="15"/>
  <c r="AZ34" i="15"/>
  <c r="BC34" i="15"/>
  <c r="AN34" i="15"/>
  <c r="AE34" i="15"/>
  <c r="AB34" i="15"/>
  <c r="AK34" i="15"/>
  <c r="AH34" i="15"/>
  <c r="P34" i="15"/>
  <c r="Y34" i="15"/>
  <c r="S34" i="15"/>
  <c r="V34" i="15"/>
  <c r="BF37" i="15"/>
  <c r="BI37" i="15"/>
  <c r="AQ37" i="15"/>
  <c r="AT37" i="15"/>
  <c r="AW37" i="15"/>
  <c r="AZ37" i="15"/>
  <c r="AN37" i="15"/>
  <c r="BC37" i="15"/>
  <c r="AK37" i="15"/>
  <c r="AH37" i="15"/>
  <c r="Y37" i="15"/>
  <c r="V37" i="15"/>
  <c r="S37" i="15"/>
  <c r="P37" i="15"/>
  <c r="AE37" i="15"/>
  <c r="AB37" i="15"/>
  <c r="AA49" i="15"/>
  <c r="H17" i="47"/>
  <c r="H19" i="47"/>
  <c r="E69" i="13"/>
  <c r="U49" i="15"/>
  <c r="AY49" i="15"/>
  <c r="H17" i="53"/>
  <c r="H19" i="53"/>
  <c r="E53" i="13"/>
  <c r="BE49" i="15"/>
  <c r="BI38" i="15"/>
  <c r="BF38" i="15"/>
  <c r="AQ38" i="15"/>
  <c r="AT38" i="15"/>
  <c r="AW38" i="15"/>
  <c r="AZ38" i="15"/>
  <c r="BC38" i="15"/>
  <c r="AN38" i="15"/>
  <c r="AE38" i="15"/>
  <c r="AB38" i="15"/>
  <c r="AK38" i="15"/>
  <c r="AH38" i="15"/>
  <c r="V38" i="15"/>
  <c r="Y38" i="15"/>
  <c r="S38" i="15"/>
  <c r="P38" i="15"/>
  <c r="BF31" i="15"/>
  <c r="BI31" i="15"/>
  <c r="AQ31" i="15"/>
  <c r="AT31" i="15"/>
  <c r="AW31" i="15"/>
  <c r="AN31" i="15"/>
  <c r="AZ31" i="15"/>
  <c r="BC31" i="15"/>
  <c r="AH31" i="15"/>
  <c r="Y31" i="15"/>
  <c r="V31" i="15"/>
  <c r="S31" i="15"/>
  <c r="P31" i="15"/>
  <c r="AE31" i="15"/>
  <c r="AB31" i="15"/>
  <c r="AK31" i="15"/>
  <c r="O40" i="11"/>
  <c r="L40" i="11"/>
  <c r="L37" i="11"/>
  <c r="O37" i="11"/>
  <c r="L39" i="11"/>
  <c r="O39" i="11"/>
  <c r="H28" i="10"/>
  <c r="A36" i="9"/>
  <c r="F47" i="13"/>
  <c r="F49" i="13"/>
  <c r="F53" i="13"/>
  <c r="F55" i="13"/>
  <c r="F45" i="13"/>
  <c r="F51" i="13"/>
  <c r="F69" i="13"/>
  <c r="F75" i="13"/>
  <c r="F73" i="13"/>
  <c r="F71" i="13"/>
  <c r="H22" i="45"/>
  <c r="H21" i="45"/>
  <c r="H5" i="45"/>
  <c r="H14" i="45"/>
  <c r="H17" i="45"/>
  <c r="H19" i="45"/>
  <c r="H16" i="45"/>
  <c r="H20" i="45"/>
  <c r="H18" i="45"/>
  <c r="H15" i="45"/>
  <c r="H23" i="45"/>
  <c r="E77" i="13"/>
  <c r="H24" i="45"/>
  <c r="E78" i="13"/>
  <c r="F29" i="24"/>
  <c r="H28" i="24"/>
  <c r="H27" i="24"/>
  <c r="F23" i="24"/>
  <c r="F78" i="13"/>
  <c r="F77" i="13"/>
  <c r="H9" i="37"/>
  <c r="H8" i="37"/>
  <c r="H7" i="37"/>
  <c r="H6" i="37"/>
  <c r="H5" i="37"/>
  <c r="H4" i="37"/>
  <c r="H9" i="36"/>
  <c r="H8" i="36"/>
  <c r="H7" i="36"/>
  <c r="H6" i="36"/>
  <c r="H5" i="36"/>
  <c r="H4" i="36"/>
  <c r="H9" i="35"/>
  <c r="H8" i="35"/>
  <c r="H7" i="35"/>
  <c r="H6" i="35"/>
  <c r="H5" i="35"/>
  <c r="H4" i="35"/>
  <c r="H9" i="34"/>
  <c r="H8" i="34"/>
  <c r="H7" i="34"/>
  <c r="H6" i="34"/>
  <c r="H5" i="34"/>
  <c r="H4" i="34"/>
  <c r="H20" i="41"/>
  <c r="H19" i="41"/>
  <c r="H18" i="41"/>
  <c r="H17" i="41"/>
  <c r="H16" i="41"/>
  <c r="H15" i="41"/>
  <c r="H14" i="41"/>
  <c r="H13" i="41"/>
  <c r="H12" i="41"/>
  <c r="H11" i="41"/>
  <c r="H10" i="41"/>
  <c r="H9" i="41"/>
  <c r="H8" i="41"/>
  <c r="H7" i="41"/>
  <c r="H6" i="41"/>
  <c r="H5" i="41"/>
  <c r="H4" i="41"/>
  <c r="H20" i="40"/>
  <c r="H19" i="40"/>
  <c r="H18" i="40"/>
  <c r="H17" i="40"/>
  <c r="H16" i="40"/>
  <c r="H15" i="40"/>
  <c r="H14" i="40"/>
  <c r="H13" i="40"/>
  <c r="H12" i="40"/>
  <c r="H11" i="40"/>
  <c r="H10" i="40"/>
  <c r="H9" i="40"/>
  <c r="H8" i="40"/>
  <c r="H7" i="40"/>
  <c r="H6" i="40"/>
  <c r="H5" i="40"/>
  <c r="H21" i="40"/>
  <c r="H4" i="40"/>
  <c r="H16" i="39"/>
  <c r="H15" i="39"/>
  <c r="H14" i="39"/>
  <c r="H13" i="39"/>
  <c r="H12" i="39"/>
  <c r="H11" i="39"/>
  <c r="H10" i="39"/>
  <c r="H9" i="39"/>
  <c r="H8" i="39"/>
  <c r="H7" i="39"/>
  <c r="H6" i="39"/>
  <c r="H5" i="39"/>
  <c r="H17" i="39"/>
  <c r="H4" i="39"/>
  <c r="H16" i="38"/>
  <c r="H15" i="38"/>
  <c r="H14" i="38"/>
  <c r="H13" i="38"/>
  <c r="H12" i="38"/>
  <c r="H11" i="38"/>
  <c r="H10" i="38"/>
  <c r="H9" i="38"/>
  <c r="H8" i="38"/>
  <c r="H7" i="38"/>
  <c r="H6" i="38"/>
  <c r="H5" i="38"/>
  <c r="H17" i="38"/>
  <c r="H4" i="38"/>
  <c r="H23" i="31"/>
  <c r="H22" i="31"/>
  <c r="H21" i="31"/>
  <c r="H20" i="31"/>
  <c r="H19" i="31"/>
  <c r="H18" i="31"/>
  <c r="H17" i="31"/>
  <c r="H16" i="31"/>
  <c r="H15" i="31"/>
  <c r="H14" i="31"/>
  <c r="H13" i="31"/>
  <c r="H12" i="31"/>
  <c r="H11" i="31"/>
  <c r="H10" i="31"/>
  <c r="H9" i="31"/>
  <c r="H8" i="31"/>
  <c r="H7" i="31"/>
  <c r="H6" i="31"/>
  <c r="H5" i="31"/>
  <c r="H4" i="31"/>
  <c r="H23" i="30"/>
  <c r="H22" i="30"/>
  <c r="H21" i="30"/>
  <c r="H20" i="30"/>
  <c r="H19" i="30"/>
  <c r="H18" i="30"/>
  <c r="H17" i="30"/>
  <c r="H16" i="30"/>
  <c r="H15" i="30"/>
  <c r="H14" i="30"/>
  <c r="H13" i="30"/>
  <c r="H12" i="30"/>
  <c r="H11" i="30"/>
  <c r="H10" i="30"/>
  <c r="H9" i="30"/>
  <c r="H8" i="30"/>
  <c r="H7" i="30"/>
  <c r="H6" i="30"/>
  <c r="H5" i="30"/>
  <c r="H4" i="30"/>
  <c r="H31" i="29"/>
  <c r="H30" i="29"/>
  <c r="H29" i="29"/>
  <c r="H28" i="29"/>
  <c r="H27" i="29"/>
  <c r="H26" i="29"/>
  <c r="H25" i="29"/>
  <c r="H24" i="29"/>
  <c r="H23" i="29"/>
  <c r="H22" i="29"/>
  <c r="H21" i="29"/>
  <c r="H20" i="29"/>
  <c r="H19" i="29"/>
  <c r="H18" i="29"/>
  <c r="H17" i="29"/>
  <c r="H16" i="29"/>
  <c r="H15" i="29"/>
  <c r="H14" i="29"/>
  <c r="H13" i="29"/>
  <c r="H12" i="29"/>
  <c r="H11" i="29"/>
  <c r="H10" i="29"/>
  <c r="H9" i="29"/>
  <c r="H8" i="29"/>
  <c r="H7" i="29"/>
  <c r="H6" i="29"/>
  <c r="H5" i="29"/>
  <c r="H4" i="29"/>
  <c r="H39" i="42"/>
  <c r="H38" i="42"/>
  <c r="H37" i="42"/>
  <c r="H36" i="42"/>
  <c r="H35" i="42"/>
  <c r="H34" i="42"/>
  <c r="H33" i="42"/>
  <c r="H32" i="42"/>
  <c r="H31" i="42"/>
  <c r="H30" i="42"/>
  <c r="H29" i="42"/>
  <c r="H28" i="42"/>
  <c r="H27" i="42"/>
  <c r="H26" i="42"/>
  <c r="H25" i="42"/>
  <c r="H24" i="42"/>
  <c r="H23" i="42"/>
  <c r="H22" i="42"/>
  <c r="H21" i="42"/>
  <c r="H20" i="42"/>
  <c r="H19" i="42"/>
  <c r="H18" i="42"/>
  <c r="H17" i="42"/>
  <c r="H16" i="42"/>
  <c r="H15" i="42"/>
  <c r="H14" i="42"/>
  <c r="H13" i="42"/>
  <c r="H12" i="42"/>
  <c r="H11" i="42"/>
  <c r="H10" i="42"/>
  <c r="H9" i="42"/>
  <c r="H8" i="42"/>
  <c r="H7" i="42"/>
  <c r="H6" i="42"/>
  <c r="H5" i="42"/>
  <c r="H4" i="42"/>
  <c r="H39" i="28"/>
  <c r="H38" i="28"/>
  <c r="H37" i="28"/>
  <c r="H36" i="28"/>
  <c r="H35" i="28"/>
  <c r="H34" i="28"/>
  <c r="H33" i="28"/>
  <c r="H32" i="28"/>
  <c r="H31" i="28"/>
  <c r="H30" i="28"/>
  <c r="H29" i="28"/>
  <c r="H28" i="28"/>
  <c r="H27" i="28"/>
  <c r="H26" i="28"/>
  <c r="H25" i="28"/>
  <c r="H24" i="28"/>
  <c r="H23" i="28"/>
  <c r="H22" i="28"/>
  <c r="H21" i="28"/>
  <c r="H20" i="28"/>
  <c r="H19" i="28"/>
  <c r="H18" i="28"/>
  <c r="H17" i="28"/>
  <c r="H16" i="28"/>
  <c r="H15" i="28"/>
  <c r="H14" i="28"/>
  <c r="H13" i="28"/>
  <c r="H12" i="28"/>
  <c r="H11" i="28"/>
  <c r="H10" i="28"/>
  <c r="H9" i="28"/>
  <c r="H8" i="28"/>
  <c r="H7" i="28"/>
  <c r="H6" i="28"/>
  <c r="H5" i="28"/>
  <c r="H4" i="28"/>
  <c r="H39" i="27"/>
  <c r="H38" i="27"/>
  <c r="H37" i="27"/>
  <c r="H36" i="27"/>
  <c r="H35" i="27"/>
  <c r="H34" i="27"/>
  <c r="H33" i="27"/>
  <c r="H32" i="27"/>
  <c r="H31" i="27"/>
  <c r="H30" i="27"/>
  <c r="H29" i="27"/>
  <c r="H28" i="27"/>
  <c r="H27" i="27"/>
  <c r="H26" i="27"/>
  <c r="H25" i="27"/>
  <c r="H24" i="27"/>
  <c r="H23" i="27"/>
  <c r="H22" i="27"/>
  <c r="H21" i="27"/>
  <c r="H20" i="27"/>
  <c r="H19" i="27"/>
  <c r="H18" i="27"/>
  <c r="H17" i="27"/>
  <c r="H16" i="27"/>
  <c r="H15" i="27"/>
  <c r="H14" i="27"/>
  <c r="H13" i="27"/>
  <c r="H12" i="27"/>
  <c r="H11" i="27"/>
  <c r="H10" i="27"/>
  <c r="H9" i="27"/>
  <c r="H8" i="27"/>
  <c r="H7" i="27"/>
  <c r="H6" i="27"/>
  <c r="H5" i="27"/>
  <c r="H4" i="27"/>
  <c r="H39" i="26"/>
  <c r="H38" i="26"/>
  <c r="H37" i="26"/>
  <c r="H36" i="26"/>
  <c r="H35" i="26"/>
  <c r="H34" i="26"/>
  <c r="H33" i="26"/>
  <c r="H32" i="26"/>
  <c r="H31" i="26"/>
  <c r="H30" i="26"/>
  <c r="H29" i="26"/>
  <c r="H28" i="26"/>
  <c r="H27" i="26"/>
  <c r="H26" i="26"/>
  <c r="H25" i="26"/>
  <c r="H24" i="26"/>
  <c r="H23" i="26"/>
  <c r="H22" i="26"/>
  <c r="H21" i="26"/>
  <c r="H20" i="26"/>
  <c r="H19" i="26"/>
  <c r="H18" i="26"/>
  <c r="H17" i="26"/>
  <c r="H16" i="26"/>
  <c r="H15" i="26"/>
  <c r="H14" i="26"/>
  <c r="H13" i="26"/>
  <c r="H12" i="26"/>
  <c r="H11" i="26"/>
  <c r="H10" i="26"/>
  <c r="H9" i="26"/>
  <c r="H8" i="26"/>
  <c r="H7" i="26"/>
  <c r="H6" i="26"/>
  <c r="H5" i="26"/>
  <c r="H4" i="26"/>
  <c r="H37" i="25"/>
  <c r="H36" i="25"/>
  <c r="H35" i="25"/>
  <c r="H34" i="25"/>
  <c r="H33" i="25"/>
  <c r="H32" i="25"/>
  <c r="H31" i="25"/>
  <c r="H30" i="25"/>
  <c r="H29" i="25"/>
  <c r="H28" i="25"/>
  <c r="H27" i="25"/>
  <c r="H26" i="25"/>
  <c r="H25" i="25"/>
  <c r="H24" i="25"/>
  <c r="H23" i="25"/>
  <c r="H22" i="25"/>
  <c r="H21" i="25"/>
  <c r="H20" i="25"/>
  <c r="H19" i="25"/>
  <c r="H18" i="25"/>
  <c r="H17" i="25"/>
  <c r="H16" i="25"/>
  <c r="H15" i="25"/>
  <c r="H14" i="25"/>
  <c r="H13" i="25"/>
  <c r="H12" i="25"/>
  <c r="H11" i="25"/>
  <c r="H10" i="25"/>
  <c r="H9" i="25"/>
  <c r="H8" i="25"/>
  <c r="H7" i="25"/>
  <c r="H6" i="25"/>
  <c r="H5" i="25"/>
  <c r="H4" i="25"/>
  <c r="H49" i="23"/>
  <c r="H48" i="23"/>
  <c r="H47" i="23"/>
  <c r="H46" i="23"/>
  <c r="H45" i="23"/>
  <c r="H44" i="23"/>
  <c r="H43" i="23"/>
  <c r="H42" i="23"/>
  <c r="H41" i="23"/>
  <c r="H40" i="23"/>
  <c r="H39" i="23"/>
  <c r="H38" i="23"/>
  <c r="H36" i="23"/>
  <c r="H35" i="23"/>
  <c r="H34" i="23"/>
  <c r="H33" i="23"/>
  <c r="H32" i="23"/>
  <c r="H31" i="23"/>
  <c r="H30" i="23"/>
  <c r="H29" i="23"/>
  <c r="H28" i="23"/>
  <c r="H27" i="23"/>
  <c r="H26" i="23"/>
  <c r="H25" i="23"/>
  <c r="H24" i="23"/>
  <c r="H23" i="23"/>
  <c r="H22" i="23"/>
  <c r="H21" i="23"/>
  <c r="H20" i="23"/>
  <c r="H19" i="23"/>
  <c r="H18" i="23"/>
  <c r="H17" i="23"/>
  <c r="H16" i="23"/>
  <c r="H15" i="23"/>
  <c r="H14" i="23"/>
  <c r="H13" i="23"/>
  <c r="H12" i="23"/>
  <c r="H11" i="23"/>
  <c r="H10" i="23"/>
  <c r="H9" i="23"/>
  <c r="H8" i="23"/>
  <c r="H7" i="23"/>
  <c r="H6" i="23"/>
  <c r="H5" i="23"/>
  <c r="H4" i="23"/>
  <c r="H49" i="24"/>
  <c r="H48" i="24"/>
  <c r="H47" i="24"/>
  <c r="H46" i="24"/>
  <c r="H45" i="24"/>
  <c r="H44" i="24"/>
  <c r="H43" i="24"/>
  <c r="H42" i="24"/>
  <c r="H41" i="24"/>
  <c r="H40" i="24"/>
  <c r="H39" i="24"/>
  <c r="H38" i="24"/>
  <c r="H36" i="24"/>
  <c r="H35" i="24"/>
  <c r="H34" i="24"/>
  <c r="H33" i="24"/>
  <c r="H32" i="24"/>
  <c r="H31" i="24"/>
  <c r="H30" i="24"/>
  <c r="H29" i="24"/>
  <c r="H26" i="24"/>
  <c r="H25" i="24"/>
  <c r="H24" i="24"/>
  <c r="H23" i="24"/>
  <c r="H22" i="24"/>
  <c r="H21" i="24"/>
  <c r="H20" i="24"/>
  <c r="H19" i="24"/>
  <c r="H18" i="24"/>
  <c r="H17" i="24"/>
  <c r="H16" i="24"/>
  <c r="H15" i="24"/>
  <c r="H14" i="24"/>
  <c r="H13" i="24"/>
  <c r="H12" i="24"/>
  <c r="H11" i="24"/>
  <c r="H10" i="24"/>
  <c r="H9" i="24"/>
  <c r="H8" i="24"/>
  <c r="H7" i="24"/>
  <c r="H6" i="24"/>
  <c r="H5" i="24"/>
  <c r="H4" i="24"/>
  <c r="H28" i="19"/>
  <c r="H27" i="19"/>
  <c r="H26" i="19"/>
  <c r="H25" i="19"/>
  <c r="H24" i="19"/>
  <c r="H23" i="19"/>
  <c r="H22" i="19"/>
  <c r="H21" i="19"/>
  <c r="H20" i="19"/>
  <c r="H19" i="19"/>
  <c r="H18" i="19"/>
  <c r="H17" i="19"/>
  <c r="H16" i="19"/>
  <c r="H15" i="19"/>
  <c r="H14" i="19"/>
  <c r="H13" i="19"/>
  <c r="H12" i="19"/>
  <c r="H11" i="19"/>
  <c r="H10" i="19"/>
  <c r="H9" i="19"/>
  <c r="H8" i="19"/>
  <c r="H7" i="19"/>
  <c r="H6" i="19"/>
  <c r="H5" i="19"/>
  <c r="H4" i="19"/>
  <c r="H28" i="18"/>
  <c r="H27" i="18"/>
  <c r="H26" i="18"/>
  <c r="H25" i="18"/>
  <c r="H24" i="18"/>
  <c r="H23" i="18"/>
  <c r="H22" i="18"/>
  <c r="H21" i="18"/>
  <c r="H20" i="18"/>
  <c r="H19" i="18"/>
  <c r="H18" i="18"/>
  <c r="H17" i="18"/>
  <c r="H16" i="18"/>
  <c r="H15" i="18"/>
  <c r="H14" i="18"/>
  <c r="H13" i="18"/>
  <c r="H12" i="18"/>
  <c r="H11" i="18"/>
  <c r="H10" i="18"/>
  <c r="H9" i="18"/>
  <c r="H8" i="18"/>
  <c r="H7" i="18"/>
  <c r="H6" i="18"/>
  <c r="H5" i="18"/>
  <c r="H4" i="18"/>
  <c r="H28" i="17"/>
  <c r="H27" i="17"/>
  <c r="H26" i="17"/>
  <c r="H25" i="17"/>
  <c r="H24" i="17"/>
  <c r="H23" i="17"/>
  <c r="H22" i="17"/>
  <c r="H21" i="17"/>
  <c r="H20" i="17"/>
  <c r="H19" i="17"/>
  <c r="H18" i="17"/>
  <c r="H17" i="17"/>
  <c r="H16" i="17"/>
  <c r="H15" i="17"/>
  <c r="H14" i="17"/>
  <c r="H13" i="17"/>
  <c r="H12" i="17"/>
  <c r="H11" i="17"/>
  <c r="H10" i="17"/>
  <c r="H9" i="17"/>
  <c r="H8" i="17"/>
  <c r="H7" i="17"/>
  <c r="H6" i="17"/>
  <c r="H5" i="17"/>
  <c r="H4" i="17"/>
  <c r="H29" i="22"/>
  <c r="H28" i="22"/>
  <c r="H27" i="22"/>
  <c r="H26" i="22"/>
  <c r="H25" i="22"/>
  <c r="H24" i="22"/>
  <c r="H23" i="22"/>
  <c r="H22" i="22"/>
  <c r="H21" i="22"/>
  <c r="H20" i="22"/>
  <c r="H19" i="22"/>
  <c r="H18" i="22"/>
  <c r="H17" i="22"/>
  <c r="H16" i="22"/>
  <c r="H15" i="22"/>
  <c r="H14" i="22"/>
  <c r="H13" i="22"/>
  <c r="H12" i="22"/>
  <c r="H11" i="22"/>
  <c r="H10" i="22"/>
  <c r="H9" i="22"/>
  <c r="H8" i="22"/>
  <c r="H7" i="22"/>
  <c r="H6" i="22"/>
  <c r="H5" i="22"/>
  <c r="H4" i="22"/>
  <c r="H29" i="21"/>
  <c r="H28" i="21"/>
  <c r="H27" i="21"/>
  <c r="H26" i="21"/>
  <c r="H25" i="21"/>
  <c r="H24" i="21"/>
  <c r="H23" i="21"/>
  <c r="H22" i="21"/>
  <c r="H21" i="21"/>
  <c r="H20" i="21"/>
  <c r="H19" i="21"/>
  <c r="H18" i="21"/>
  <c r="H17" i="21"/>
  <c r="H16" i="21"/>
  <c r="H15" i="21"/>
  <c r="H14" i="21"/>
  <c r="H13" i="21"/>
  <c r="H12" i="21"/>
  <c r="H11" i="21"/>
  <c r="H10" i="21"/>
  <c r="H9" i="21"/>
  <c r="H8" i="21"/>
  <c r="H7" i="21"/>
  <c r="H6" i="21"/>
  <c r="H5" i="21"/>
  <c r="H4" i="21"/>
  <c r="H29" i="20"/>
  <c r="H28" i="20"/>
  <c r="H27" i="20"/>
  <c r="H26" i="20"/>
  <c r="H25" i="20"/>
  <c r="H24" i="20"/>
  <c r="H23" i="20"/>
  <c r="H22" i="20"/>
  <c r="H21" i="20"/>
  <c r="H20" i="20"/>
  <c r="H19" i="20"/>
  <c r="H18" i="20"/>
  <c r="H17" i="20"/>
  <c r="H16" i="20"/>
  <c r="H15" i="20"/>
  <c r="H14" i="20"/>
  <c r="H13" i="20"/>
  <c r="H12" i="20"/>
  <c r="H11" i="20"/>
  <c r="H10" i="20"/>
  <c r="H9" i="20"/>
  <c r="H8" i="20"/>
  <c r="H7" i="20"/>
  <c r="H6" i="20"/>
  <c r="H5" i="20"/>
  <c r="H4" i="20"/>
  <c r="H25" i="40"/>
  <c r="H24" i="40"/>
  <c r="H22" i="40"/>
  <c r="H27" i="40"/>
  <c r="H23" i="40"/>
  <c r="H26" i="40"/>
  <c r="H20" i="39"/>
  <c r="H19" i="39"/>
  <c r="H22" i="39"/>
  <c r="H18" i="39"/>
  <c r="H23" i="39"/>
  <c r="H21" i="39"/>
  <c r="H23" i="38"/>
  <c r="H19" i="38"/>
  <c r="H21" i="38"/>
  <c r="H20" i="38"/>
  <c r="H22" i="38"/>
  <c r="H18" i="38"/>
  <c r="H50" i="24"/>
  <c r="H50" i="23"/>
  <c r="G36" i="7"/>
  <c r="H36" i="7"/>
  <c r="G70" i="8"/>
  <c r="G35" i="7"/>
  <c r="H35" i="7"/>
  <c r="F35" i="7"/>
  <c r="F33" i="7"/>
  <c r="G33" i="7"/>
  <c r="H33" i="7"/>
  <c r="G64" i="8"/>
  <c r="H64" i="8"/>
  <c r="F64" i="8"/>
  <c r="F32" i="7"/>
  <c r="E32" i="7"/>
  <c r="F65" i="8"/>
  <c r="G65" i="8"/>
  <c r="H65" i="8"/>
  <c r="E65" i="8"/>
  <c r="F54" i="8"/>
  <c r="G54" i="8"/>
  <c r="F53" i="8"/>
  <c r="G53" i="8"/>
  <c r="F52" i="8"/>
  <c r="G52" i="8"/>
  <c r="F51" i="8"/>
  <c r="G51" i="8"/>
  <c r="F22" i="8"/>
  <c r="G22" i="8"/>
  <c r="G26" i="8"/>
  <c r="H26" i="8"/>
  <c r="G27" i="8"/>
  <c r="H27" i="8"/>
  <c r="G32" i="7"/>
  <c r="H32" i="7"/>
  <c r="H53" i="8"/>
  <c r="H54" i="8"/>
  <c r="H51" i="8"/>
  <c r="H52" i="8"/>
  <c r="H22" i="8"/>
  <c r="G80" i="9"/>
  <c r="H80" i="9"/>
  <c r="F79" i="9"/>
  <c r="G79" i="9"/>
  <c r="H79" i="9"/>
  <c r="H6" i="11"/>
  <c r="F40" i="9"/>
  <c r="G40" i="9"/>
  <c r="H40" i="9"/>
  <c r="O6" i="11"/>
  <c r="L6" i="11"/>
  <c r="H10" i="11"/>
  <c r="H13" i="11"/>
  <c r="H8" i="11"/>
  <c r="H11" i="11"/>
  <c r="E45" i="11"/>
  <c r="G44" i="11"/>
  <c r="G43" i="11"/>
  <c r="F30" i="11"/>
  <c r="G30" i="11"/>
  <c r="F69" i="8"/>
  <c r="G69" i="8"/>
  <c r="H69" i="8"/>
  <c r="G82" i="9"/>
  <c r="E68" i="9"/>
  <c r="F68" i="9"/>
  <c r="G68" i="9"/>
  <c r="H68" i="9"/>
  <c r="N44" i="11"/>
  <c r="K44" i="11"/>
  <c r="L13" i="11"/>
  <c r="O13" i="11"/>
  <c r="O10" i="11"/>
  <c r="L10" i="11"/>
  <c r="N30" i="11"/>
  <c r="K30" i="11"/>
  <c r="L11" i="11"/>
  <c r="O11" i="11"/>
  <c r="K43" i="11"/>
  <c r="N43" i="11"/>
  <c r="O8" i="11"/>
  <c r="L8" i="11"/>
  <c r="H30" i="11"/>
  <c r="F67" i="9"/>
  <c r="G67" i="9"/>
  <c r="H67" i="9"/>
  <c r="F34" i="7"/>
  <c r="G34" i="7"/>
  <c r="H34" i="7"/>
  <c r="G42" i="9"/>
  <c r="E9" i="9"/>
  <c r="O30" i="11"/>
  <c r="L30" i="11"/>
  <c r="H68" i="8"/>
  <c r="F6" i="43"/>
  <c r="G8" i="43"/>
  <c r="G7" i="43"/>
  <c r="G6" i="43"/>
  <c r="G5" i="43"/>
  <c r="G4" i="43"/>
  <c r="H10" i="36"/>
  <c r="G9" i="43"/>
  <c r="H10" i="37"/>
  <c r="H15" i="37"/>
  <c r="H10" i="34"/>
  <c r="H13" i="34"/>
  <c r="H40" i="28"/>
  <c r="H45" i="28"/>
  <c r="H10" i="35"/>
  <c r="H12" i="35"/>
  <c r="H30" i="21"/>
  <c r="H33" i="21"/>
  <c r="H16" i="34"/>
  <c r="H24" i="31"/>
  <c r="H40" i="42"/>
  <c r="H40" i="27"/>
  <c r="H40" i="26"/>
  <c r="H38" i="25"/>
  <c r="H29" i="19"/>
  <c r="H35" i="19"/>
  <c r="H34" i="18"/>
  <c r="H29" i="17"/>
  <c r="H31" i="17"/>
  <c r="H30" i="22"/>
  <c r="H36" i="22"/>
  <c r="H30" i="20"/>
  <c r="H35" i="20"/>
  <c r="H32" i="29"/>
  <c r="H12" i="37"/>
  <c r="H16" i="37"/>
  <c r="H13" i="37"/>
  <c r="H15" i="36"/>
  <c r="H12" i="36"/>
  <c r="H16" i="36"/>
  <c r="H14" i="36"/>
  <c r="H11" i="36"/>
  <c r="H13" i="36"/>
  <c r="H35" i="21"/>
  <c r="H11" i="37"/>
  <c r="H14" i="37"/>
  <c r="G13" i="43"/>
  <c r="G12" i="43"/>
  <c r="G15" i="43"/>
  <c r="G11" i="43"/>
  <c r="G14" i="43"/>
  <c r="H32" i="19"/>
  <c r="H15" i="35"/>
  <c r="H14" i="34"/>
  <c r="H15" i="34"/>
  <c r="H41" i="28"/>
  <c r="H35" i="17"/>
  <c r="H12" i="34"/>
  <c r="H11" i="34"/>
  <c r="H42" i="28"/>
  <c r="H43" i="28"/>
  <c r="H30" i="19"/>
  <c r="H32" i="17"/>
  <c r="H34" i="17"/>
  <c r="H13" i="35"/>
  <c r="H11" i="35"/>
  <c r="H14" i="35"/>
  <c r="H16" i="35"/>
  <c r="H46" i="28"/>
  <c r="H44" i="28"/>
  <c r="H31" i="19"/>
  <c r="H34" i="19"/>
  <c r="H33" i="19"/>
  <c r="H33" i="18"/>
  <c r="H32" i="18"/>
  <c r="H31" i="18"/>
  <c r="H35" i="18"/>
  <c r="H30" i="18"/>
  <c r="H33" i="17"/>
  <c r="H30" i="17"/>
  <c r="H32" i="21"/>
  <c r="H36" i="21"/>
  <c r="H34" i="21"/>
  <c r="H31" i="21"/>
  <c r="H34" i="22"/>
  <c r="H33" i="22"/>
  <c r="H35" i="22"/>
  <c r="H32" i="22"/>
  <c r="H31" i="22"/>
  <c r="H33" i="20"/>
  <c r="H32" i="20"/>
  <c r="H28" i="31"/>
  <c r="H27" i="31"/>
  <c r="H25" i="31"/>
  <c r="H30" i="31"/>
  <c r="H26" i="31"/>
  <c r="H29" i="31"/>
  <c r="H36" i="29"/>
  <c r="H33" i="29"/>
  <c r="H35" i="29"/>
  <c r="H38" i="29"/>
  <c r="H34" i="29"/>
  <c r="H37" i="29"/>
  <c r="H44" i="42"/>
  <c r="H42" i="42"/>
  <c r="H41" i="42"/>
  <c r="H43" i="42"/>
  <c r="H46" i="42"/>
  <c r="H45" i="42"/>
  <c r="H44" i="27"/>
  <c r="H46" i="27"/>
  <c r="H42" i="27"/>
  <c r="H41" i="27"/>
  <c r="H43" i="27"/>
  <c r="H45" i="27"/>
  <c r="H44" i="26"/>
  <c r="H43" i="26"/>
  <c r="H41" i="26"/>
  <c r="H46" i="26"/>
  <c r="H42" i="26"/>
  <c r="H45" i="26"/>
  <c r="H43" i="25"/>
  <c r="H39" i="25"/>
  <c r="H42" i="25"/>
  <c r="H41" i="25"/>
  <c r="H44" i="25"/>
  <c r="H40" i="25"/>
  <c r="H56" i="23"/>
  <c r="H52" i="23"/>
  <c r="H55" i="23"/>
  <c r="H51" i="23"/>
  <c r="H54" i="23"/>
  <c r="H53" i="23"/>
  <c r="H53" i="24"/>
  <c r="H54" i="24"/>
  <c r="H56" i="24"/>
  <c r="H52" i="24"/>
  <c r="H55" i="24"/>
  <c r="H51" i="24"/>
  <c r="H36" i="20"/>
  <c r="H34" i="20"/>
  <c r="H31" i="20"/>
  <c r="H14" i="15"/>
  <c r="G29" i="32"/>
  <c r="G28" i="32"/>
  <c r="H13" i="15"/>
  <c r="H12" i="15"/>
  <c r="BI12" i="15"/>
  <c r="BF12" i="15"/>
  <c r="AQ12" i="15"/>
  <c r="AT12" i="15"/>
  <c r="AW12" i="15"/>
  <c r="AZ12" i="15"/>
  <c r="BC12" i="15"/>
  <c r="AN12" i="15"/>
  <c r="AE12" i="15"/>
  <c r="AB12" i="15"/>
  <c r="AK12" i="15"/>
  <c r="AH12" i="15"/>
  <c r="P12" i="15"/>
  <c r="S12" i="15"/>
  <c r="Y12" i="15"/>
  <c r="V12" i="15"/>
  <c r="BF13" i="15"/>
  <c r="BI13" i="15"/>
  <c r="AQ13" i="15"/>
  <c r="AT13" i="15"/>
  <c r="AZ13" i="15"/>
  <c r="BC13" i="15"/>
  <c r="AN13" i="15"/>
  <c r="AW13" i="15"/>
  <c r="AK13" i="15"/>
  <c r="Y13" i="15"/>
  <c r="V13" i="15"/>
  <c r="S13" i="15"/>
  <c r="P13" i="15"/>
  <c r="AE13" i="15"/>
  <c r="AB13" i="15"/>
  <c r="AH13" i="15"/>
  <c r="BI14" i="15"/>
  <c r="BF14" i="15"/>
  <c r="AQ14" i="15"/>
  <c r="AT14" i="15"/>
  <c r="AW14" i="15"/>
  <c r="AZ14" i="15"/>
  <c r="BC14" i="15"/>
  <c r="AN14" i="15"/>
  <c r="AE14" i="15"/>
  <c r="AB14" i="15"/>
  <c r="AK14" i="15"/>
  <c r="AH14" i="15"/>
  <c r="V14" i="15"/>
  <c r="S14" i="15"/>
  <c r="Y14" i="15"/>
  <c r="P14" i="15"/>
  <c r="H29" i="32"/>
  <c r="H28" i="32"/>
  <c r="H24" i="30"/>
  <c r="H26" i="30"/>
  <c r="V49" i="15"/>
  <c r="AH49" i="15"/>
  <c r="H18" i="49"/>
  <c r="H20" i="49"/>
  <c r="E74" i="13"/>
  <c r="AN49" i="15"/>
  <c r="H18" i="55"/>
  <c r="H20" i="55"/>
  <c r="E46" i="13"/>
  <c r="AT49" i="15"/>
  <c r="H18" i="52"/>
  <c r="H20" i="52"/>
  <c r="E50" i="13"/>
  <c r="Y49" i="15"/>
  <c r="AK49" i="15"/>
  <c r="H18" i="50"/>
  <c r="H20" i="50"/>
  <c r="E76" i="13"/>
  <c r="BC49" i="15"/>
  <c r="H18" i="54"/>
  <c r="H20" i="54"/>
  <c r="E56" i="13"/>
  <c r="AQ49" i="15"/>
  <c r="H18" i="51"/>
  <c r="H20" i="51"/>
  <c r="E48" i="13"/>
  <c r="S49" i="15"/>
  <c r="AB49" i="15"/>
  <c r="H18" i="47"/>
  <c r="H20" i="47"/>
  <c r="E70" i="13"/>
  <c r="AZ49" i="15"/>
  <c r="H18" i="53"/>
  <c r="H20" i="53"/>
  <c r="E54" i="13"/>
  <c r="BF49" i="15"/>
  <c r="H18" i="57"/>
  <c r="H20" i="57"/>
  <c r="E58" i="13"/>
  <c r="F58" i="13"/>
  <c r="P49" i="15"/>
  <c r="AE49" i="15"/>
  <c r="H18" i="48"/>
  <c r="H20" i="48"/>
  <c r="E72" i="13"/>
  <c r="AW49" i="15"/>
  <c r="H18" i="56"/>
  <c r="H20" i="56"/>
  <c r="E52" i="13"/>
  <c r="BI49" i="15"/>
  <c r="H18" i="58"/>
  <c r="H20" i="58"/>
  <c r="E64" i="13"/>
  <c r="F64" i="13"/>
  <c r="H30" i="30"/>
  <c r="H28" i="30"/>
  <c r="H27" i="30"/>
  <c r="H25" i="30"/>
  <c r="H29" i="30"/>
  <c r="H17" i="35"/>
  <c r="H19" i="35"/>
  <c r="E61" i="13"/>
  <c r="H17" i="37"/>
  <c r="H17" i="34"/>
  <c r="H19" i="34"/>
  <c r="E59" i="13"/>
  <c r="H17" i="36"/>
  <c r="H19" i="36"/>
  <c r="E65" i="13"/>
  <c r="H53" i="11"/>
  <c r="H54" i="11"/>
  <c r="G38" i="8"/>
  <c r="G37" i="8"/>
  <c r="G36" i="8"/>
  <c r="F45" i="8"/>
  <c r="G45" i="8"/>
  <c r="F52" i="9"/>
  <c r="G52" i="9"/>
  <c r="H19" i="37"/>
  <c r="E67" i="13"/>
  <c r="F48" i="13"/>
  <c r="F50" i="13"/>
  <c r="F52" i="13"/>
  <c r="F54" i="13"/>
  <c r="F56" i="13"/>
  <c r="F46" i="13"/>
  <c r="F72" i="13"/>
  <c r="F76" i="13"/>
  <c r="F74" i="13"/>
  <c r="F70" i="13"/>
  <c r="F67" i="13"/>
  <c r="F65" i="13"/>
  <c r="F61" i="13"/>
  <c r="F59" i="13"/>
  <c r="H55" i="11"/>
  <c r="H45" i="8"/>
  <c r="H70" i="8"/>
  <c r="H52" i="9"/>
  <c r="E45" i="9"/>
  <c r="E44" i="9"/>
  <c r="F45" i="9"/>
  <c r="F44" i="9"/>
  <c r="G44" i="9"/>
  <c r="F43" i="9"/>
  <c r="E43" i="9"/>
  <c r="L55" i="11"/>
  <c r="O55" i="11"/>
  <c r="G43" i="9"/>
  <c r="G45" i="9"/>
  <c r="F52" i="11"/>
  <c r="G52" i="11"/>
  <c r="N52" i="11"/>
  <c r="K52" i="11"/>
  <c r="H52" i="11"/>
  <c r="G12" i="10"/>
  <c r="E12" i="10"/>
  <c r="O52" i="11"/>
  <c r="L52" i="11"/>
  <c r="H12" i="10"/>
  <c r="E19" i="32"/>
  <c r="E8" i="7"/>
  <c r="G27" i="32"/>
  <c r="F26" i="32"/>
  <c r="G26" i="32"/>
  <c r="F25" i="32"/>
  <c r="G25" i="32"/>
  <c r="G24" i="32"/>
  <c r="E24" i="32"/>
  <c r="F22" i="32"/>
  <c r="G22" i="32"/>
  <c r="F20" i="32"/>
  <c r="G20" i="32"/>
  <c r="F19" i="32"/>
  <c r="F18" i="32"/>
  <c r="G18" i="32"/>
  <c r="G17" i="32"/>
  <c r="E17" i="32"/>
  <c r="F15" i="32"/>
  <c r="G15" i="32"/>
  <c r="F13" i="32"/>
  <c r="G13" i="32"/>
  <c r="F10" i="32"/>
  <c r="G10" i="32"/>
  <c r="F9" i="32"/>
  <c r="G9" i="32"/>
  <c r="F7" i="32"/>
  <c r="G7" i="32"/>
  <c r="F6" i="32"/>
  <c r="G6" i="32"/>
  <c r="G15" i="10"/>
  <c r="F18" i="8"/>
  <c r="G18" i="8"/>
  <c r="F6" i="7"/>
  <c r="G6" i="7"/>
  <c r="H6" i="32"/>
  <c r="H7" i="32"/>
  <c r="H15" i="32"/>
  <c r="H24" i="32"/>
  <c r="G11" i="32"/>
  <c r="H20" i="32"/>
  <c r="H25" i="32"/>
  <c r="H10" i="32"/>
  <c r="H17" i="32"/>
  <c r="H22" i="32"/>
  <c r="H26" i="32"/>
  <c r="H13" i="32"/>
  <c r="H18" i="32"/>
  <c r="H27" i="32"/>
  <c r="H15" i="10"/>
  <c r="H6" i="7"/>
  <c r="H18" i="8"/>
  <c r="G19" i="32"/>
  <c r="G12" i="32"/>
  <c r="H9" i="32"/>
  <c r="H12" i="32"/>
  <c r="H11" i="32"/>
  <c r="H19" i="32"/>
  <c r="G14" i="7"/>
  <c r="H14" i="7"/>
  <c r="G35" i="8"/>
  <c r="G17" i="8"/>
  <c r="G45" i="11"/>
  <c r="N45" i="11"/>
  <c r="K45" i="11"/>
  <c r="H17" i="8"/>
  <c r="H35" i="8"/>
  <c r="G11" i="16"/>
  <c r="G10" i="16"/>
  <c r="G9" i="16"/>
  <c r="G8" i="16"/>
  <c r="G7" i="16"/>
  <c r="G6" i="16"/>
  <c r="G5" i="16"/>
  <c r="G4" i="16"/>
  <c r="F14" i="10"/>
  <c r="G14" i="10"/>
  <c r="F13" i="10"/>
  <c r="G13" i="10"/>
  <c r="F12" i="7"/>
  <c r="G12" i="7"/>
  <c r="F16" i="10"/>
  <c r="G16" i="10"/>
  <c r="F18" i="10"/>
  <c r="G18" i="10"/>
  <c r="F17" i="10"/>
  <c r="G17" i="10"/>
  <c r="F19" i="10"/>
  <c r="G19" i="10"/>
  <c r="F20" i="10"/>
  <c r="G20" i="10"/>
  <c r="F21" i="10"/>
  <c r="G21" i="10"/>
  <c r="F22" i="10"/>
  <c r="G22" i="10"/>
  <c r="H23" i="10"/>
  <c r="F24" i="10"/>
  <c r="G24" i="10"/>
  <c r="F9" i="10"/>
  <c r="G9" i="10"/>
  <c r="F8" i="10"/>
  <c r="G8" i="10"/>
  <c r="F6" i="10"/>
  <c r="G6" i="10"/>
  <c r="F7" i="8"/>
  <c r="G7" i="8"/>
  <c r="E33" i="11"/>
  <c r="F50" i="11"/>
  <c r="E50" i="11"/>
  <c r="F37" i="7"/>
  <c r="G37" i="7"/>
  <c r="F20" i="7"/>
  <c r="G20" i="7"/>
  <c r="H17" i="10"/>
  <c r="H13" i="10"/>
  <c r="H9" i="10"/>
  <c r="H14" i="10"/>
  <c r="H24" i="10"/>
  <c r="H12" i="7"/>
  <c r="H20" i="7"/>
  <c r="H37" i="7"/>
  <c r="H7" i="8"/>
  <c r="H6" i="10"/>
  <c r="H20" i="10"/>
  <c r="H22" i="10"/>
  <c r="H19" i="10"/>
  <c r="H21" i="10"/>
  <c r="H18" i="10"/>
  <c r="H16" i="10"/>
  <c r="G10" i="10"/>
  <c r="H8" i="10"/>
  <c r="G11" i="10"/>
  <c r="G50" i="11"/>
  <c r="F25" i="7"/>
  <c r="G25" i="7"/>
  <c r="F11" i="7"/>
  <c r="G11" i="7"/>
  <c r="F67" i="8"/>
  <c r="G67" i="8"/>
  <c r="F66" i="8"/>
  <c r="G66" i="8"/>
  <c r="F41" i="8"/>
  <c r="G41" i="8"/>
  <c r="F40" i="8"/>
  <c r="G40" i="8"/>
  <c r="H38" i="8"/>
  <c r="H37" i="8"/>
  <c r="H36" i="8"/>
  <c r="F62" i="8"/>
  <c r="G62" i="8"/>
  <c r="F71" i="8"/>
  <c r="G71" i="8"/>
  <c r="F60" i="8"/>
  <c r="G60" i="8"/>
  <c r="F63" i="9"/>
  <c r="G63" i="9"/>
  <c r="F54" i="9"/>
  <c r="G54" i="9"/>
  <c r="F47" i="8"/>
  <c r="G47" i="8"/>
  <c r="F51" i="9"/>
  <c r="G51" i="9"/>
  <c r="E17" i="8"/>
  <c r="F6" i="8"/>
  <c r="G6" i="8"/>
  <c r="H45" i="9"/>
  <c r="H44" i="9"/>
  <c r="H43" i="9"/>
  <c r="N50" i="11"/>
  <c r="K50" i="11"/>
  <c r="H10" i="10"/>
  <c r="H11" i="10"/>
  <c r="H11" i="7"/>
  <c r="H25" i="7"/>
  <c r="H50" i="11"/>
  <c r="H66" i="8"/>
  <c r="H6" i="8"/>
  <c r="H71" i="8"/>
  <c r="H67" i="8"/>
  <c r="H40" i="8"/>
  <c r="H60" i="8"/>
  <c r="H18" i="37"/>
  <c r="H18" i="36"/>
  <c r="H20" i="36"/>
  <c r="E66" i="13"/>
  <c r="H18" i="35"/>
  <c r="H20" i="35"/>
  <c r="E62" i="13"/>
  <c r="H18" i="34"/>
  <c r="H20" i="34"/>
  <c r="E60" i="13"/>
  <c r="H47" i="8"/>
  <c r="H63" i="9"/>
  <c r="H51" i="9"/>
  <c r="G57" i="9"/>
  <c r="G60" i="9"/>
  <c r="H60" i="9"/>
  <c r="H41" i="8"/>
  <c r="G43" i="8"/>
  <c r="G42" i="8"/>
  <c r="H62" i="8"/>
  <c r="G57" i="8"/>
  <c r="G55" i="8"/>
  <c r="H54" i="9"/>
  <c r="E14" i="9"/>
  <c r="E7" i="9"/>
  <c r="H20" i="37"/>
  <c r="E68" i="13"/>
  <c r="F66" i="13"/>
  <c r="F62" i="13"/>
  <c r="F60" i="13"/>
  <c r="O50" i="11"/>
  <c r="L50" i="11"/>
  <c r="H57" i="8"/>
  <c r="H43" i="8"/>
  <c r="H55" i="8"/>
  <c r="H42" i="8"/>
  <c r="H57" i="9"/>
  <c r="H22" i="11"/>
  <c r="H73" i="9"/>
  <c r="H82" i="9"/>
  <c r="F68" i="13"/>
  <c r="E16" i="9"/>
  <c r="E15" i="9"/>
  <c r="F16" i="9"/>
  <c r="F15" i="9"/>
  <c r="F14" i="9"/>
  <c r="G14" i="9"/>
  <c r="G32" i="9"/>
  <c r="G26" i="9"/>
  <c r="G20" i="9"/>
  <c r="G20" i="8"/>
  <c r="G24" i="8"/>
  <c r="G17" i="9"/>
  <c r="H14" i="9"/>
  <c r="G15" i="9"/>
  <c r="G16" i="9"/>
  <c r="H7" i="11"/>
  <c r="G23" i="9"/>
  <c r="G22" i="9"/>
  <c r="G21" i="9"/>
  <c r="H20" i="9"/>
  <c r="G28" i="9"/>
  <c r="H26" i="9"/>
  <c r="G27" i="9"/>
  <c r="G29" i="9"/>
  <c r="G33" i="9"/>
  <c r="H32" i="9"/>
  <c r="H24" i="8"/>
  <c r="G25" i="8"/>
  <c r="G21" i="8"/>
  <c r="H20" i="8"/>
  <c r="H16" i="9"/>
  <c r="H12" i="11"/>
  <c r="H14" i="11"/>
  <c r="H9" i="11"/>
  <c r="H17" i="9"/>
  <c r="H15" i="9"/>
  <c r="I8" i="12"/>
  <c r="J8" i="12"/>
  <c r="J9" i="12"/>
  <c r="F8" i="12"/>
  <c r="O14" i="11"/>
  <c r="L14" i="11"/>
  <c r="L9" i="11"/>
  <c r="O9" i="11"/>
  <c r="O12" i="11"/>
  <c r="L12" i="11"/>
  <c r="L7" i="11"/>
  <c r="O7" i="11"/>
  <c r="H33" i="9"/>
  <c r="H28" i="9"/>
  <c r="H21" i="9"/>
  <c r="H35" i="9"/>
  <c r="H22" i="9"/>
  <c r="H27" i="9"/>
  <c r="H34" i="9"/>
  <c r="H29" i="9"/>
  <c r="H23" i="9"/>
  <c r="H21" i="8"/>
  <c r="H25" i="8"/>
  <c r="F29" i="8"/>
  <c r="G29" i="8"/>
  <c r="H29" i="8"/>
  <c r="G49" i="8"/>
  <c r="G48" i="8"/>
  <c r="G58" i="8"/>
  <c r="H58" i="8"/>
  <c r="H49" i="8"/>
  <c r="H48" i="8"/>
  <c r="G56" i="8"/>
  <c r="H56" i="8"/>
  <c r="F9" i="9"/>
  <c r="G9" i="9"/>
  <c r="F75" i="9"/>
  <c r="G75" i="9"/>
  <c r="H9" i="9"/>
  <c r="H75" i="9"/>
  <c r="H36" i="9"/>
  <c r="G12" i="9"/>
  <c r="F23" i="7"/>
  <c r="G23" i="7"/>
  <c r="F22" i="7"/>
  <c r="G22" i="7"/>
  <c r="F21" i="7"/>
  <c r="G21" i="7"/>
  <c r="F31" i="7"/>
  <c r="G31" i="7"/>
  <c r="F30" i="7"/>
  <c r="G30" i="7"/>
  <c r="F29" i="7"/>
  <c r="G29" i="7"/>
  <c r="F28" i="7"/>
  <c r="G28" i="7"/>
  <c r="F27" i="7"/>
  <c r="G27" i="7"/>
  <c r="F26" i="7"/>
  <c r="G26" i="7"/>
  <c r="F18" i="7"/>
  <c r="G18" i="7"/>
  <c r="F17" i="7"/>
  <c r="G17" i="7"/>
  <c r="F16" i="7"/>
  <c r="G16" i="7"/>
  <c r="F15" i="7"/>
  <c r="G15" i="7"/>
  <c r="F13" i="7"/>
  <c r="G13" i="7"/>
  <c r="F9" i="7"/>
  <c r="G9" i="7"/>
  <c r="F8" i="7"/>
  <c r="G8" i="7"/>
  <c r="F7" i="7"/>
  <c r="G7" i="7"/>
  <c r="F27" i="10"/>
  <c r="G27" i="10"/>
  <c r="F26" i="10"/>
  <c r="G26" i="10"/>
  <c r="F25" i="10"/>
  <c r="G25" i="10"/>
  <c r="F15" i="11"/>
  <c r="F28" i="11"/>
  <c r="G28" i="11"/>
  <c r="F51" i="11"/>
  <c r="G51" i="11"/>
  <c r="F46" i="11"/>
  <c r="G46" i="11"/>
  <c r="F41" i="11"/>
  <c r="G41" i="11"/>
  <c r="F45" i="11"/>
  <c r="H45" i="11"/>
  <c r="H44" i="11"/>
  <c r="H43" i="11"/>
  <c r="F29" i="11"/>
  <c r="G29" i="11"/>
  <c r="F24" i="11"/>
  <c r="G24" i="11"/>
  <c r="F23" i="11"/>
  <c r="G23" i="11"/>
  <c r="F21" i="11"/>
  <c r="G21" i="11"/>
  <c r="F20" i="11"/>
  <c r="G20" i="11"/>
  <c r="F18" i="11"/>
  <c r="G18" i="11"/>
  <c r="F17" i="11"/>
  <c r="G17" i="11"/>
  <c r="F36" i="11"/>
  <c r="G36" i="11"/>
  <c r="F35" i="11"/>
  <c r="G35" i="11"/>
  <c r="F33" i="11"/>
  <c r="G33" i="11"/>
  <c r="F32" i="11"/>
  <c r="G32" i="11"/>
  <c r="F49" i="11"/>
  <c r="G49" i="11"/>
  <c r="F48" i="11"/>
  <c r="G48" i="11"/>
  <c r="F47" i="11"/>
  <c r="G47" i="11"/>
  <c r="F27" i="11"/>
  <c r="G27" i="11"/>
  <c r="F26" i="11"/>
  <c r="G26" i="11"/>
  <c r="F81" i="9"/>
  <c r="G81" i="9"/>
  <c r="F11" i="9"/>
  <c r="G11" i="9"/>
  <c r="F78" i="9"/>
  <c r="G78" i="9"/>
  <c r="F77" i="9"/>
  <c r="G77" i="9"/>
  <c r="F76" i="9"/>
  <c r="G76" i="9"/>
  <c r="F72" i="9"/>
  <c r="G72" i="9"/>
  <c r="F71" i="9"/>
  <c r="G71" i="9"/>
  <c r="G74" i="9"/>
  <c r="H74" i="9"/>
  <c r="F70" i="9"/>
  <c r="G70" i="9"/>
  <c r="F69" i="9"/>
  <c r="G69" i="9"/>
  <c r="H42" i="9"/>
  <c r="F66" i="9"/>
  <c r="G66" i="9"/>
  <c r="F65" i="9"/>
  <c r="G65" i="9"/>
  <c r="F64" i="9"/>
  <c r="G64" i="9"/>
  <c r="F48" i="9"/>
  <c r="G48" i="9"/>
  <c r="F47" i="9"/>
  <c r="G47" i="9"/>
  <c r="F41" i="9"/>
  <c r="G41" i="9"/>
  <c r="H37" i="9"/>
  <c r="F10" i="9"/>
  <c r="G10" i="9"/>
  <c r="F7" i="9"/>
  <c r="G7" i="9"/>
  <c r="F6" i="9"/>
  <c r="G6" i="9"/>
  <c r="F61" i="8"/>
  <c r="G61" i="8"/>
  <c r="F63" i="8"/>
  <c r="G63" i="8"/>
  <c r="F59" i="8"/>
  <c r="G59" i="8"/>
  <c r="F44" i="8"/>
  <c r="G44" i="8"/>
  <c r="F34" i="8"/>
  <c r="G34" i="8"/>
  <c r="F33" i="8"/>
  <c r="G33" i="8"/>
  <c r="F30" i="8"/>
  <c r="G30" i="8"/>
  <c r="F15" i="8"/>
  <c r="G15" i="8"/>
  <c r="F13" i="8"/>
  <c r="G13" i="8"/>
  <c r="F10" i="8"/>
  <c r="G10" i="8"/>
  <c r="F9" i="8"/>
  <c r="G9" i="8"/>
  <c r="I7" i="12"/>
  <c r="F7" i="12"/>
  <c r="I6" i="12"/>
  <c r="F6" i="12"/>
  <c r="I5" i="12"/>
  <c r="F5" i="12"/>
  <c r="I4" i="12"/>
  <c r="F4" i="12"/>
  <c r="J4" i="12"/>
  <c r="N27" i="11"/>
  <c r="K27" i="11"/>
  <c r="K23" i="11"/>
  <c r="N23" i="11"/>
  <c r="O44" i="11"/>
  <c r="L44" i="11"/>
  <c r="K47" i="11"/>
  <c r="N47" i="11"/>
  <c r="N33" i="11"/>
  <c r="K33" i="11"/>
  <c r="N18" i="11"/>
  <c r="K18" i="11"/>
  <c r="K24" i="11"/>
  <c r="N24" i="11"/>
  <c r="L45" i="11"/>
  <c r="O45" i="11"/>
  <c r="K28" i="11"/>
  <c r="N28" i="11"/>
  <c r="K17" i="11"/>
  <c r="N17" i="11"/>
  <c r="K48" i="11"/>
  <c r="N48" i="11"/>
  <c r="K35" i="11"/>
  <c r="N35" i="11"/>
  <c r="N20" i="11"/>
  <c r="K20" i="11"/>
  <c r="K29" i="11"/>
  <c r="N29" i="11"/>
  <c r="K41" i="11"/>
  <c r="N41" i="11"/>
  <c r="N32" i="11"/>
  <c r="K32" i="11"/>
  <c r="N51" i="11"/>
  <c r="K51" i="11"/>
  <c r="N26" i="11"/>
  <c r="K26" i="11"/>
  <c r="K49" i="11"/>
  <c r="N49" i="11"/>
  <c r="K36" i="11"/>
  <c r="N36" i="11"/>
  <c r="N21" i="11"/>
  <c r="K21" i="11"/>
  <c r="L43" i="11"/>
  <c r="O43" i="11"/>
  <c r="N46" i="11"/>
  <c r="K46" i="11"/>
  <c r="H26" i="10"/>
  <c r="H27" i="10"/>
  <c r="H25" i="10"/>
  <c r="H47" i="27"/>
  <c r="H45" i="25"/>
  <c r="H39" i="29"/>
  <c r="H47" i="26"/>
  <c r="H47" i="28"/>
  <c r="H17" i="7"/>
  <c r="H13" i="7"/>
  <c r="H18" i="7"/>
  <c r="H29" i="7"/>
  <c r="H22" i="7"/>
  <c r="H21" i="7"/>
  <c r="H7" i="7"/>
  <c r="H15" i="7"/>
  <c r="H26" i="7"/>
  <c r="H30" i="7"/>
  <c r="H9" i="7"/>
  <c r="H16" i="7"/>
  <c r="H27" i="7"/>
  <c r="H31" i="7"/>
  <c r="G30" i="9"/>
  <c r="G24" i="9"/>
  <c r="G18" i="9"/>
  <c r="H33" i="11"/>
  <c r="H24" i="11"/>
  <c r="H28" i="11"/>
  <c r="H48" i="11"/>
  <c r="H35" i="11"/>
  <c r="H20" i="11"/>
  <c r="H29" i="11"/>
  <c r="H41" i="11"/>
  <c r="H18" i="11"/>
  <c r="H49" i="11"/>
  <c r="H36" i="11"/>
  <c r="H21" i="11"/>
  <c r="H46" i="11"/>
  <c r="H47" i="11"/>
  <c r="H26" i="11"/>
  <c r="H27" i="11"/>
  <c r="H32" i="11"/>
  <c r="H17" i="11"/>
  <c r="H23" i="11"/>
  <c r="H51" i="11"/>
  <c r="H61" i="8"/>
  <c r="H15" i="8"/>
  <c r="H44" i="8"/>
  <c r="H13" i="8"/>
  <c r="H59" i="8"/>
  <c r="H34" i="8"/>
  <c r="H9" i="8"/>
  <c r="H30" i="8"/>
  <c r="H10" i="8"/>
  <c r="H33" i="8"/>
  <c r="H63" i="8"/>
  <c r="H8" i="7"/>
  <c r="H31" i="31"/>
  <c r="H12" i="9"/>
  <c r="H71" i="9"/>
  <c r="H10" i="9"/>
  <c r="H11" i="9"/>
  <c r="H70" i="9"/>
  <c r="H23" i="7"/>
  <c r="H28" i="7"/>
  <c r="H41" i="9"/>
  <c r="H47" i="9"/>
  <c r="H69" i="9"/>
  <c r="H76" i="9"/>
  <c r="H65" i="9"/>
  <c r="H48" i="9"/>
  <c r="H6" i="9"/>
  <c r="H72" i="9"/>
  <c r="H64" i="9"/>
  <c r="H66" i="9"/>
  <c r="H78" i="9"/>
  <c r="H81" i="9"/>
  <c r="H77" i="9"/>
  <c r="H7" i="9"/>
  <c r="G15" i="11"/>
  <c r="G42" i="11"/>
  <c r="G32" i="8"/>
  <c r="G31" i="8"/>
  <c r="G12" i="8"/>
  <c r="G11" i="8"/>
  <c r="H39" i="9"/>
  <c r="H38" i="9"/>
  <c r="G56" i="9"/>
  <c r="G55" i="9"/>
  <c r="G50" i="9"/>
  <c r="J5" i="12"/>
  <c r="J7" i="12"/>
  <c r="J6" i="12"/>
  <c r="J10" i="12"/>
  <c r="K58" i="11"/>
  <c r="O46" i="11"/>
  <c r="L46" i="11"/>
  <c r="L33" i="11"/>
  <c r="O33" i="11"/>
  <c r="L27" i="11"/>
  <c r="O27" i="11"/>
  <c r="L21" i="11"/>
  <c r="O21" i="11"/>
  <c r="L41" i="11"/>
  <c r="O41" i="11"/>
  <c r="O48" i="11"/>
  <c r="L48" i="11"/>
  <c r="O32" i="11"/>
  <c r="L32" i="11"/>
  <c r="O18" i="11"/>
  <c r="L18" i="11"/>
  <c r="K42" i="11"/>
  <c r="N42" i="11"/>
  <c r="K15" i="11"/>
  <c r="N15" i="11"/>
  <c r="N58" i="11"/>
  <c r="H57" i="23"/>
  <c r="L23" i="11"/>
  <c r="O23" i="11"/>
  <c r="O26" i="11"/>
  <c r="L26" i="11"/>
  <c r="O36" i="11"/>
  <c r="L36" i="11"/>
  <c r="L29" i="11"/>
  <c r="O29" i="11"/>
  <c r="O28" i="11"/>
  <c r="L28" i="11"/>
  <c r="L35" i="11"/>
  <c r="O35" i="11"/>
  <c r="L51" i="11"/>
  <c r="O51" i="11"/>
  <c r="L17" i="11"/>
  <c r="O17" i="11"/>
  <c r="L47" i="11"/>
  <c r="O47" i="11"/>
  <c r="L49" i="11"/>
  <c r="O49" i="11"/>
  <c r="O20" i="11"/>
  <c r="L20" i="11"/>
  <c r="O24" i="11"/>
  <c r="L24" i="11"/>
  <c r="H40" i="29"/>
  <c r="H42" i="29"/>
  <c r="E32" i="13"/>
  <c r="H48" i="26"/>
  <c r="H50" i="26"/>
  <c r="E24" i="13"/>
  <c r="H47" i="42"/>
  <c r="H49" i="42"/>
  <c r="E29" i="13"/>
  <c r="H31" i="30"/>
  <c r="H33" i="30"/>
  <c r="E33" i="13"/>
  <c r="H18" i="9"/>
  <c r="H24" i="9"/>
  <c r="H30" i="9"/>
  <c r="H42" i="11"/>
  <c r="H15" i="11"/>
  <c r="H11" i="8"/>
  <c r="H32" i="8"/>
  <c r="H12" i="8"/>
  <c r="H31" i="8"/>
  <c r="H32" i="31"/>
  <c r="H34" i="31"/>
  <c r="E36" i="13"/>
  <c r="H50" i="9"/>
  <c r="H49" i="9"/>
  <c r="H56" i="9"/>
  <c r="G62" i="9"/>
  <c r="G59" i="9"/>
  <c r="H55" i="9"/>
  <c r="G58" i="9"/>
  <c r="G61" i="9"/>
  <c r="H47" i="25"/>
  <c r="E21" i="13"/>
  <c r="H41" i="29"/>
  <c r="E31" i="13"/>
  <c r="F21" i="13"/>
  <c r="F24" i="13"/>
  <c r="F32" i="13"/>
  <c r="F29" i="13"/>
  <c r="F36" i="13"/>
  <c r="F31" i="13"/>
  <c r="F33" i="13"/>
  <c r="L58" i="11"/>
  <c r="O42" i="11"/>
  <c r="L42" i="11"/>
  <c r="L15" i="11"/>
  <c r="O15" i="11"/>
  <c r="H46" i="25"/>
  <c r="H48" i="25"/>
  <c r="E22" i="13"/>
  <c r="H48" i="28"/>
  <c r="H48" i="42"/>
  <c r="H50" i="42"/>
  <c r="E30" i="13"/>
  <c r="H48" i="27"/>
  <c r="H32" i="30"/>
  <c r="H34" i="30"/>
  <c r="E34" i="13"/>
  <c r="H36" i="18"/>
  <c r="H38" i="18"/>
  <c r="E13" i="13"/>
  <c r="H36" i="19"/>
  <c r="H38" i="19"/>
  <c r="E15" i="13"/>
  <c r="H36" i="17"/>
  <c r="H38" i="17"/>
  <c r="E11" i="13"/>
  <c r="H61" i="9"/>
  <c r="H62" i="9"/>
  <c r="H58" i="9"/>
  <c r="H59" i="9"/>
  <c r="H33" i="31"/>
  <c r="E35" i="13"/>
  <c r="H49" i="26"/>
  <c r="E23" i="13"/>
  <c r="H50" i="27"/>
  <c r="E26" i="13"/>
  <c r="F22" i="13"/>
  <c r="F11" i="13"/>
  <c r="F35" i="13"/>
  <c r="F26" i="13"/>
  <c r="F30" i="13"/>
  <c r="F34" i="13"/>
  <c r="F15" i="13"/>
  <c r="F23" i="13"/>
  <c r="F13" i="13"/>
  <c r="O58" i="11"/>
  <c r="H58" i="23"/>
  <c r="H37" i="19"/>
  <c r="H39" i="19"/>
  <c r="E16" i="13"/>
  <c r="N83" i="9"/>
  <c r="H37" i="21"/>
  <c r="H39" i="21"/>
  <c r="E7" i="13"/>
  <c r="H37" i="17"/>
  <c r="H39" i="17"/>
  <c r="E12" i="13"/>
  <c r="H37" i="18"/>
  <c r="H39" i="18"/>
  <c r="E14" i="13"/>
  <c r="H28" i="40"/>
  <c r="H30" i="40"/>
  <c r="E41" i="13"/>
  <c r="H28" i="41"/>
  <c r="H30" i="41"/>
  <c r="K83" i="9"/>
  <c r="H37" i="20"/>
  <c r="H39" i="20"/>
  <c r="E5" i="13"/>
  <c r="H24" i="38"/>
  <c r="H26" i="38"/>
  <c r="E37" i="13"/>
  <c r="H24" i="39"/>
  <c r="H26" i="39"/>
  <c r="E39" i="13"/>
  <c r="Q83" i="9"/>
  <c r="H37" i="22"/>
  <c r="H39" i="22"/>
  <c r="H49" i="27"/>
  <c r="E25" i="13"/>
  <c r="H49" i="28"/>
  <c r="E27" i="13"/>
  <c r="H50" i="28"/>
  <c r="E28" i="13"/>
  <c r="F27" i="13"/>
  <c r="F14" i="13"/>
  <c r="F25" i="13"/>
  <c r="F5" i="13"/>
  <c r="F12" i="13"/>
  <c r="F28" i="13"/>
  <c r="F16" i="13"/>
  <c r="F9" i="13"/>
  <c r="F43" i="13"/>
  <c r="F7" i="13"/>
  <c r="F41" i="13"/>
  <c r="F39" i="13"/>
  <c r="F37" i="13"/>
  <c r="H25" i="39"/>
  <c r="H27" i="39"/>
  <c r="E40" i="13"/>
  <c r="H29" i="41"/>
  <c r="H31" i="41"/>
  <c r="E44" i="13"/>
  <c r="O83" i="9"/>
  <c r="H38" i="21"/>
  <c r="H40" i="21"/>
  <c r="E8" i="13"/>
  <c r="R83" i="9"/>
  <c r="H38" i="22"/>
  <c r="H40" i="22"/>
  <c r="E10" i="13"/>
  <c r="H29" i="40"/>
  <c r="H31" i="40"/>
  <c r="E42" i="13"/>
  <c r="H25" i="38"/>
  <c r="H27" i="38"/>
  <c r="E38" i="13"/>
  <c r="L83" i="9"/>
  <c r="H38" i="20"/>
  <c r="H40" i="20"/>
  <c r="E6" i="13"/>
  <c r="F44" i="13"/>
  <c r="F10" i="13"/>
  <c r="F6" i="13"/>
  <c r="F8" i="13"/>
  <c r="F42" i="13"/>
  <c r="F40" i="13"/>
  <c r="F38" i="13"/>
  <c r="H59" i="23"/>
  <c r="E17" i="13"/>
  <c r="H57" i="24"/>
  <c r="H59" i="24"/>
  <c r="E19" i="13"/>
  <c r="H60" i="23"/>
  <c r="E18" i="13"/>
  <c r="H58" i="24"/>
  <c r="H60" i="24"/>
  <c r="E20" i="13"/>
  <c r="F18" i="13"/>
  <c r="F17" i="13"/>
  <c r="F20" i="13"/>
  <c r="F19" i="13"/>
  <c r="G10" i="43"/>
  <c r="E80" i="13"/>
  <c r="G13" i="16"/>
  <c r="G17" i="16"/>
  <c r="G15" i="16"/>
  <c r="G18" i="16"/>
  <c r="G14" i="16"/>
  <c r="G16" i="16"/>
  <c r="G20" i="16"/>
  <c r="E79" i="13"/>
  <c r="F80" i="13"/>
  <c r="F79" i="13"/>
  <c r="Q217" i="59" l="1"/>
  <c r="O485" i="59"/>
  <c r="R525" i="59"/>
  <c r="R471" i="59"/>
  <c r="O471" i="59"/>
  <c r="R21" i="59"/>
  <c r="O403" i="59"/>
  <c r="Q192" i="59"/>
  <c r="L196" i="59"/>
  <c r="K196" i="59" s="1"/>
  <c r="M196" i="59" s="1"/>
  <c r="O196" i="59" s="1"/>
  <c r="L253" i="59"/>
  <c r="K253" i="59" s="1"/>
  <c r="M253" i="59" s="1"/>
  <c r="R253" i="59" s="1"/>
  <c r="L14" i="59"/>
  <c r="K14" i="59" s="1"/>
  <c r="M14" i="59" s="1"/>
  <c r="O14" i="59" s="1"/>
  <c r="L105" i="59"/>
  <c r="K105" i="59" s="1"/>
  <c r="M105" i="59" s="1"/>
  <c r="R105" i="59" s="1"/>
  <c r="L99" i="59"/>
  <c r="K99" i="59" s="1"/>
  <c r="M99" i="59" s="1"/>
  <c r="O99" i="59" s="1"/>
  <c r="L166" i="59"/>
  <c r="K166" i="59" s="1"/>
  <c r="M166" i="59" s="1"/>
  <c r="Q166" i="59" s="1"/>
  <c r="L194" i="59"/>
  <c r="K194" i="59" s="1"/>
  <c r="M194" i="59" s="1"/>
  <c r="R194" i="59" s="1"/>
  <c r="L18" i="59"/>
  <c r="K18" i="59" s="1"/>
  <c r="M18" i="59" s="1"/>
  <c r="R18" i="59" s="1"/>
  <c r="L522" i="59"/>
  <c r="K522" i="59" s="1"/>
  <c r="M522" i="59" s="1"/>
  <c r="Q522" i="59" s="1"/>
  <c r="L34" i="59"/>
  <c r="K34" i="59" s="1"/>
  <c r="M34" i="59" s="1"/>
  <c r="Q34" i="59" s="1"/>
  <c r="L180" i="59"/>
  <c r="K180" i="59" s="1"/>
  <c r="M180" i="59" s="1"/>
  <c r="O180" i="59" s="1"/>
  <c r="L169" i="59"/>
  <c r="K169" i="59" s="1"/>
  <c r="M169" i="59" s="1"/>
  <c r="R169" i="59" s="1"/>
  <c r="L173" i="59"/>
  <c r="K173" i="59" s="1"/>
  <c r="M173" i="59" s="1"/>
  <c r="O173" i="59" s="1"/>
  <c r="O413" i="59"/>
  <c r="R429" i="59"/>
  <c r="Q413" i="59"/>
  <c r="O386" i="59"/>
  <c r="R292" i="59"/>
  <c r="O336" i="59"/>
  <c r="Q453" i="59"/>
  <c r="R417" i="59"/>
  <c r="O231" i="59"/>
  <c r="Q135" i="59"/>
  <c r="Q116" i="59"/>
  <c r="R231" i="59"/>
  <c r="R116" i="59"/>
  <c r="O393" i="59"/>
  <c r="R390" i="59"/>
  <c r="R120" i="59"/>
  <c r="O135" i="59"/>
  <c r="Q337" i="59"/>
  <c r="Q525" i="59"/>
  <c r="R443" i="59"/>
  <c r="Q81" i="59"/>
  <c r="O463" i="59"/>
  <c r="O216" i="59"/>
  <c r="R81" i="59"/>
  <c r="R383" i="59"/>
  <c r="Q216" i="59"/>
  <c r="R8" i="59"/>
  <c r="O201" i="59"/>
  <c r="O329" i="59"/>
  <c r="R374" i="59"/>
  <c r="R446" i="59"/>
  <c r="R378" i="59"/>
  <c r="O217" i="59"/>
  <c r="Q384" i="59"/>
  <c r="Q390" i="59"/>
  <c r="O262" i="59"/>
  <c r="R164" i="59"/>
  <c r="R197" i="59"/>
  <c r="O374" i="59"/>
  <c r="O446" i="59"/>
  <c r="O459" i="59"/>
  <c r="O210" i="59"/>
  <c r="O378" i="59"/>
  <c r="R287" i="59"/>
  <c r="R201" i="59"/>
  <c r="R19" i="59"/>
  <c r="R245" i="59"/>
  <c r="O470" i="59"/>
  <c r="Q383" i="59"/>
  <c r="Q19" i="59"/>
  <c r="Q209" i="59"/>
  <c r="R353" i="59"/>
  <c r="Q322" i="59"/>
  <c r="Q245" i="59"/>
  <c r="R381" i="59"/>
  <c r="Q329" i="59"/>
  <c r="Q308" i="59"/>
  <c r="O401" i="59"/>
  <c r="O225" i="59"/>
  <c r="O209" i="59"/>
  <c r="O289" i="59"/>
  <c r="R107" i="59"/>
  <c r="O28" i="59"/>
  <c r="Q211" i="59"/>
  <c r="O146" i="59"/>
  <c r="Q134" i="59"/>
  <c r="O443" i="59"/>
  <c r="Q352" i="59"/>
  <c r="R225" i="59"/>
  <c r="O291" i="59"/>
  <c r="R80" i="59"/>
  <c r="R134" i="59"/>
  <c r="Q283" i="59"/>
  <c r="O458" i="59"/>
  <c r="O402" i="59"/>
  <c r="R352" i="59"/>
  <c r="O207" i="59"/>
  <c r="Q70" i="59"/>
  <c r="R431" i="59"/>
  <c r="R291" i="59"/>
  <c r="Q458" i="59"/>
  <c r="O322" i="59"/>
  <c r="Q411" i="59"/>
  <c r="O308" i="59"/>
  <c r="O211" i="59"/>
  <c r="O70" i="59"/>
  <c r="Q379" i="59"/>
  <c r="R379" i="59"/>
  <c r="O223" i="59"/>
  <c r="Q223" i="59"/>
  <c r="R199" i="59"/>
  <c r="O199" i="59"/>
  <c r="O142" i="59"/>
  <c r="R142" i="59"/>
  <c r="Q142" i="59"/>
  <c r="Q146" i="59"/>
  <c r="R424" i="59"/>
  <c r="O416" i="59"/>
  <c r="Q157" i="59"/>
  <c r="Q470" i="59"/>
  <c r="Q307" i="59"/>
  <c r="O381" i="59"/>
  <c r="Q289" i="59"/>
  <c r="R111" i="59"/>
  <c r="Q273" i="59"/>
  <c r="Q40" i="59"/>
  <c r="Q403" i="59"/>
  <c r="O9" i="59"/>
  <c r="O384" i="59"/>
  <c r="R386" i="59"/>
  <c r="Q420" i="59"/>
  <c r="Q292" i="59"/>
  <c r="Q459" i="59"/>
  <c r="Q372" i="59"/>
  <c r="O8" i="59"/>
  <c r="R412" i="59"/>
  <c r="Q210" i="59"/>
  <c r="O307" i="59"/>
  <c r="Q262" i="59"/>
  <c r="R337" i="59"/>
  <c r="Q410" i="59"/>
  <c r="R380" i="59"/>
  <c r="O396" i="59"/>
  <c r="Q207" i="59"/>
  <c r="R192" i="59"/>
  <c r="R157" i="59"/>
  <c r="Q33" i="59"/>
  <c r="O369" i="59"/>
  <c r="Q164" i="59"/>
  <c r="R141" i="59"/>
  <c r="O466" i="59"/>
  <c r="Q361" i="59"/>
  <c r="Q9" i="59"/>
  <c r="Q336" i="59"/>
  <c r="R420" i="59"/>
  <c r="R372" i="59"/>
  <c r="Q62" i="59"/>
  <c r="O282" i="59"/>
  <c r="O436" i="59"/>
  <c r="Q436" i="59"/>
  <c r="R69" i="59"/>
  <c r="O69" i="59"/>
  <c r="O213" i="59"/>
  <c r="Q213" i="59"/>
  <c r="R213" i="59"/>
  <c r="Q285" i="59"/>
  <c r="R285" i="59"/>
  <c r="O68" i="59"/>
  <c r="Q68" i="59"/>
  <c r="R68" i="59"/>
  <c r="R273" i="59"/>
  <c r="Q343" i="59"/>
  <c r="Q407" i="59"/>
  <c r="Q528" i="59"/>
  <c r="R453" i="59"/>
  <c r="Q328" i="59"/>
  <c r="Q237" i="59"/>
  <c r="Q230" i="59"/>
  <c r="Y21" i="59"/>
  <c r="Y22" i="59" s="1"/>
  <c r="O353" i="59"/>
  <c r="O287" i="59"/>
  <c r="Q65" i="59"/>
  <c r="Q401" i="59"/>
  <c r="O107" i="59"/>
  <c r="R407" i="59"/>
  <c r="R295" i="59"/>
  <c r="R98" i="59"/>
  <c r="R343" i="59"/>
  <c r="R485" i="59"/>
  <c r="Q475" i="59"/>
  <c r="Q431" i="59"/>
  <c r="Q398" i="59"/>
  <c r="O398" i="59"/>
  <c r="Q463" i="59"/>
  <c r="Q415" i="59"/>
  <c r="R402" i="59"/>
  <c r="Q380" i="59"/>
  <c r="R415" i="59"/>
  <c r="O230" i="59"/>
  <c r="O286" i="59"/>
  <c r="R237" i="59"/>
  <c r="Q396" i="59"/>
  <c r="Q199" i="59"/>
  <c r="Q296" i="59"/>
  <c r="R223" i="59"/>
  <c r="O410" i="59"/>
  <c r="R416" i="59"/>
  <c r="R528" i="59"/>
  <c r="O62" i="59"/>
  <c r="R89" i="59"/>
  <c r="Q419" i="59"/>
  <c r="O296" i="59"/>
  <c r="Q282" i="59"/>
  <c r="R419" i="59"/>
  <c r="Q112" i="59"/>
  <c r="Q130" i="59"/>
  <c r="O359" i="59"/>
  <c r="O98" i="59"/>
  <c r="Q137" i="59"/>
  <c r="R475" i="59"/>
  <c r="O411" i="59"/>
  <c r="Q286" i="59"/>
  <c r="O328" i="59"/>
  <c r="O61" i="59"/>
  <c r="R61" i="59"/>
  <c r="O266" i="59"/>
  <c r="Q266" i="59"/>
  <c r="R246" i="59"/>
  <c r="O246" i="59"/>
  <c r="O387" i="59"/>
  <c r="R387" i="59"/>
  <c r="Q387" i="59"/>
  <c r="Q131" i="59"/>
  <c r="R131" i="59"/>
  <c r="R58" i="59"/>
  <c r="O58" i="59"/>
  <c r="Q395" i="59"/>
  <c r="R395" i="59"/>
  <c r="Q147" i="59"/>
  <c r="R147" i="59"/>
  <c r="O85" i="59"/>
  <c r="R85" i="59"/>
  <c r="Q85" i="59"/>
  <c r="O370" i="59"/>
  <c r="R370" i="59"/>
  <c r="R426" i="59"/>
  <c r="Q426" i="59"/>
  <c r="O426" i="59"/>
  <c r="R434" i="59"/>
  <c r="Q434" i="59"/>
  <c r="O434" i="59"/>
  <c r="Q438" i="59"/>
  <c r="R438" i="59"/>
  <c r="O449" i="59"/>
  <c r="R449" i="59"/>
  <c r="O457" i="59"/>
  <c r="R457" i="59"/>
  <c r="O460" i="59"/>
  <c r="R460" i="59"/>
  <c r="Q460" i="59"/>
  <c r="R104" i="59"/>
  <c r="O319" i="59"/>
  <c r="O12" i="59"/>
  <c r="R297" i="59"/>
  <c r="Q32" i="59"/>
  <c r="R32" i="59"/>
  <c r="O241" i="59"/>
  <c r="R241" i="59"/>
  <c r="O365" i="59"/>
  <c r="R365" i="59"/>
  <c r="O464" i="59"/>
  <c r="Q464" i="59"/>
  <c r="Q457" i="59"/>
  <c r="O121" i="59"/>
  <c r="R121" i="59"/>
  <c r="Q121" i="59"/>
  <c r="O356" i="59"/>
  <c r="R356" i="59"/>
  <c r="O368" i="59"/>
  <c r="R368" i="59"/>
  <c r="Q368" i="59"/>
  <c r="Q104" i="59"/>
  <c r="Q321" i="59"/>
  <c r="R12" i="59"/>
  <c r="R78" i="59"/>
  <c r="O78" i="59"/>
  <c r="Q276" i="59"/>
  <c r="O276" i="59"/>
  <c r="R195" i="59"/>
  <c r="O195" i="59"/>
  <c r="R409" i="59"/>
  <c r="Q409" i="59"/>
  <c r="O438" i="59"/>
  <c r="R288" i="59"/>
  <c r="Q288" i="59"/>
  <c r="O288" i="59"/>
  <c r="O304" i="59"/>
  <c r="Q304" i="59"/>
  <c r="Q318" i="59"/>
  <c r="O318" i="59"/>
  <c r="O324" i="59"/>
  <c r="Q324" i="59"/>
  <c r="O332" i="59"/>
  <c r="R332" i="59"/>
  <c r="Q332" i="59"/>
  <c r="R340" i="59"/>
  <c r="Q340" i="59"/>
  <c r="R346" i="59"/>
  <c r="O346" i="59"/>
  <c r="Q428" i="59"/>
  <c r="O428" i="59"/>
  <c r="Q447" i="59"/>
  <c r="O447" i="59"/>
  <c r="R447" i="59"/>
  <c r="R461" i="59"/>
  <c r="Q461" i="59"/>
  <c r="O461" i="59"/>
  <c r="O472" i="59"/>
  <c r="Q472" i="59"/>
  <c r="R472" i="59"/>
  <c r="R477" i="59"/>
  <c r="Q477" i="59"/>
  <c r="O477" i="59"/>
  <c r="R113" i="59"/>
  <c r="O113" i="59"/>
  <c r="Q200" i="59"/>
  <c r="R200" i="59"/>
  <c r="Q311" i="59"/>
  <c r="R311" i="59"/>
  <c r="O467" i="59"/>
  <c r="R467" i="59"/>
  <c r="R145" i="59"/>
  <c r="O145" i="59"/>
  <c r="Q151" i="59"/>
  <c r="O151" i="59"/>
  <c r="R265" i="59"/>
  <c r="O265" i="59"/>
  <c r="Q265" i="59"/>
  <c r="Q467" i="59"/>
  <c r="R10" i="59"/>
  <c r="Q145" i="59"/>
  <c r="Q188" i="59"/>
  <c r="R188" i="59"/>
  <c r="R333" i="59"/>
  <c r="Q333" i="59"/>
  <c r="Q100" i="59"/>
  <c r="R100" i="59"/>
  <c r="Q106" i="59"/>
  <c r="R106" i="59"/>
  <c r="Q449" i="59"/>
  <c r="Q189" i="59"/>
  <c r="O189" i="59"/>
  <c r="R189" i="59"/>
  <c r="Q408" i="59"/>
  <c r="O408" i="59"/>
  <c r="R408" i="59"/>
  <c r="R422" i="59"/>
  <c r="O422" i="59"/>
  <c r="Q425" i="59"/>
  <c r="O425" i="59"/>
  <c r="O441" i="59"/>
  <c r="Q441" i="59"/>
  <c r="O444" i="59"/>
  <c r="R444" i="59"/>
  <c r="R527" i="59"/>
  <c r="O527" i="59"/>
  <c r="Q527" i="59"/>
  <c r="R65" i="59"/>
  <c r="Q197" i="59"/>
  <c r="Q303" i="59"/>
  <c r="Q66" i="59"/>
  <c r="R126" i="59"/>
  <c r="Q126" i="59"/>
  <c r="R133" i="59"/>
  <c r="O133" i="59"/>
  <c r="Q84" i="59"/>
  <c r="O84" i="59"/>
  <c r="Q198" i="59"/>
  <c r="R198" i="59"/>
  <c r="R357" i="59"/>
  <c r="Q357" i="59"/>
  <c r="O258" i="59"/>
  <c r="Q258" i="59"/>
  <c r="Q339" i="59"/>
  <c r="O339" i="59"/>
  <c r="O355" i="59"/>
  <c r="R355" i="59"/>
  <c r="Q101" i="59"/>
  <c r="O101" i="59"/>
  <c r="R101" i="59"/>
  <c r="O218" i="59"/>
  <c r="Q218" i="59"/>
  <c r="O473" i="59"/>
  <c r="R367" i="59"/>
  <c r="O357" i="59"/>
  <c r="R313" i="59"/>
  <c r="O131" i="59"/>
  <c r="Q271" i="59"/>
  <c r="Q349" i="59"/>
  <c r="O305" i="59"/>
  <c r="R60" i="59"/>
  <c r="Q355" i="59"/>
  <c r="O129" i="59"/>
  <c r="R129" i="59"/>
  <c r="R166" i="59"/>
  <c r="R218" i="59"/>
  <c r="Q176" i="59"/>
  <c r="O176" i="59"/>
  <c r="L275" i="59"/>
  <c r="K275" i="59" s="1"/>
  <c r="M275" i="59" s="1"/>
  <c r="L161" i="59"/>
  <c r="K161" i="59" s="1"/>
  <c r="M161" i="59" s="1"/>
  <c r="L162" i="59"/>
  <c r="K162" i="59" s="1"/>
  <c r="M162" i="59" s="1"/>
  <c r="R162" i="59" s="1"/>
  <c r="O221" i="59"/>
  <c r="R221" i="59"/>
  <c r="Q221" i="59"/>
  <c r="R306" i="59"/>
  <c r="Q306" i="59"/>
  <c r="O314" i="59"/>
  <c r="R314" i="59"/>
  <c r="Q314" i="59"/>
  <c r="O344" i="59"/>
  <c r="Q344" i="59"/>
  <c r="R344" i="59"/>
  <c r="R358" i="59"/>
  <c r="Q358" i="59"/>
  <c r="O358" i="59"/>
  <c r="R360" i="59"/>
  <c r="Q360" i="59"/>
  <c r="O360" i="59"/>
  <c r="Q406" i="59"/>
  <c r="O406" i="59"/>
  <c r="R406" i="59"/>
  <c r="R430" i="59"/>
  <c r="Q430" i="59"/>
  <c r="O430" i="59"/>
  <c r="Q433" i="59"/>
  <c r="O433" i="59"/>
  <c r="R433" i="59"/>
  <c r="O518" i="59"/>
  <c r="O42" i="59"/>
  <c r="R42" i="59"/>
  <c r="R36" i="59"/>
  <c r="O36" i="59"/>
  <c r="R57" i="59"/>
  <c r="Q57" i="59"/>
  <c r="R16" i="59"/>
  <c r="Q16" i="59"/>
  <c r="O16" i="59"/>
  <c r="Q71" i="59"/>
  <c r="O71" i="59"/>
  <c r="Q301" i="59"/>
  <c r="R301" i="59"/>
  <c r="R315" i="59"/>
  <c r="Q315" i="59"/>
  <c r="O397" i="59"/>
  <c r="R397" i="59"/>
  <c r="O399" i="59"/>
  <c r="Q399" i="59"/>
  <c r="Q405" i="59"/>
  <c r="R405" i="59"/>
  <c r="R377" i="59"/>
  <c r="Q377" i="59"/>
  <c r="O377" i="59"/>
  <c r="R248" i="59"/>
  <c r="Q248" i="59"/>
  <c r="O39" i="59"/>
  <c r="R39" i="59"/>
  <c r="Q47" i="59"/>
  <c r="O47" i="59"/>
  <c r="R220" i="59"/>
  <c r="O220" i="59"/>
  <c r="Q220" i="59"/>
  <c r="R47" i="59"/>
  <c r="O367" i="59"/>
  <c r="O321" i="59"/>
  <c r="R84" i="59"/>
  <c r="Q132" i="59"/>
  <c r="R271" i="59"/>
  <c r="Q243" i="59"/>
  <c r="L272" i="59"/>
  <c r="K272" i="59" s="1"/>
  <c r="M272" i="59" s="1"/>
  <c r="R143" i="59"/>
  <c r="Q143" i="59"/>
  <c r="O149" i="59"/>
  <c r="Q149" i="59"/>
  <c r="R149" i="59"/>
  <c r="Q96" i="59"/>
  <c r="O96" i="59"/>
  <c r="O306" i="59"/>
  <c r="Q152" i="59"/>
  <c r="O152" i="59"/>
  <c r="R152" i="59"/>
  <c r="R191" i="59"/>
  <c r="Q191" i="59"/>
  <c r="Q214" i="59"/>
  <c r="O214" i="59"/>
  <c r="R214" i="59"/>
  <c r="O435" i="59"/>
  <c r="R435" i="59"/>
  <c r="Q435" i="59"/>
  <c r="Q439" i="59"/>
  <c r="O439" i="59"/>
  <c r="R439" i="59"/>
  <c r="O448" i="59"/>
  <c r="R448" i="59"/>
  <c r="Q451" i="59"/>
  <c r="R451" i="59"/>
  <c r="O451" i="59"/>
  <c r="Q455" i="59"/>
  <c r="O455" i="59"/>
  <c r="R455" i="59"/>
  <c r="R474" i="59"/>
  <c r="Q474" i="59"/>
  <c r="O479" i="59"/>
  <c r="R479" i="59"/>
  <c r="Q479" i="59"/>
  <c r="O486" i="59"/>
  <c r="R486" i="59"/>
  <c r="Q486" i="59"/>
  <c r="L490" i="59"/>
  <c r="K490" i="59" s="1"/>
  <c r="M490" i="59" s="1"/>
  <c r="L254" i="59"/>
  <c r="K254" i="59" s="1"/>
  <c r="M254" i="59" s="1"/>
  <c r="L250" i="59"/>
  <c r="K250" i="59" s="1"/>
  <c r="M250" i="59" s="1"/>
  <c r="L261" i="59"/>
  <c r="K261" i="59" s="1"/>
  <c r="M261" i="59" s="1"/>
  <c r="L206" i="59"/>
  <c r="K206" i="59" s="1"/>
  <c r="M206" i="59" s="1"/>
  <c r="R206" i="59" s="1"/>
  <c r="L127" i="59"/>
  <c r="K127" i="59" s="1"/>
  <c r="M127" i="59" s="1"/>
  <c r="R312" i="59"/>
  <c r="Q312" i="59"/>
  <c r="O312" i="59"/>
  <c r="O320" i="59"/>
  <c r="R320" i="59"/>
  <c r="O379" i="59"/>
  <c r="O395" i="59"/>
  <c r="Q195" i="59"/>
  <c r="Q69" i="59"/>
  <c r="R33" i="59"/>
  <c r="O111" i="59"/>
  <c r="O311" i="59"/>
  <c r="Q246" i="59"/>
  <c r="O297" i="59"/>
  <c r="R266" i="59"/>
  <c r="Q113" i="59"/>
  <c r="Q61" i="59"/>
  <c r="O21" i="59"/>
  <c r="O106" i="59"/>
  <c r="O100" i="59"/>
  <c r="L15" i="59"/>
  <c r="K15" i="59" s="1"/>
  <c r="M15" i="59" s="1"/>
  <c r="L259" i="59"/>
  <c r="K259" i="59" s="1"/>
  <c r="M259" i="59" s="1"/>
  <c r="L252" i="59"/>
  <c r="K252" i="59" s="1"/>
  <c r="M252" i="59" s="1"/>
  <c r="L247" i="59"/>
  <c r="K247" i="59" s="1"/>
  <c r="M247" i="59" s="1"/>
  <c r="Q247" i="59" s="1"/>
  <c r="L251" i="59"/>
  <c r="K251" i="59" s="1"/>
  <c r="M251" i="59" s="1"/>
  <c r="Q251" i="59" s="1"/>
  <c r="L256" i="59"/>
  <c r="K256" i="59" s="1"/>
  <c r="M256" i="59" s="1"/>
  <c r="L31" i="59"/>
  <c r="K31" i="59" s="1"/>
  <c r="M31" i="59" s="1"/>
  <c r="L38" i="59"/>
  <c r="K38" i="59" s="1"/>
  <c r="M38" i="59" s="1"/>
  <c r="L41" i="59"/>
  <c r="K41" i="59" s="1"/>
  <c r="M41" i="59" s="1"/>
  <c r="L117" i="59"/>
  <c r="K117" i="59" s="1"/>
  <c r="M117" i="59" s="1"/>
  <c r="O117" i="59" s="1"/>
  <c r="L140" i="59"/>
  <c r="K140" i="59" s="1"/>
  <c r="M140" i="59" s="1"/>
  <c r="L154" i="59"/>
  <c r="K154" i="59" s="1"/>
  <c r="M154" i="59" s="1"/>
  <c r="L54" i="59"/>
  <c r="K54" i="59" s="1"/>
  <c r="M54" i="59" s="1"/>
  <c r="R77" i="59"/>
  <c r="Q77" i="59"/>
  <c r="R87" i="59"/>
  <c r="Q87" i="59"/>
  <c r="O227" i="59"/>
  <c r="Q227" i="59"/>
  <c r="R227" i="59"/>
  <c r="R229" i="59"/>
  <c r="O229" i="59"/>
  <c r="O234" i="59"/>
  <c r="R234" i="59"/>
  <c r="Q234" i="59"/>
  <c r="O244" i="59"/>
  <c r="R244" i="59"/>
  <c r="Q244" i="59"/>
  <c r="O294" i="59"/>
  <c r="R294" i="59"/>
  <c r="Q298" i="59"/>
  <c r="O298" i="59"/>
  <c r="R298" i="59"/>
  <c r="R526" i="59"/>
  <c r="Q526" i="59"/>
  <c r="O526" i="59"/>
  <c r="Q530" i="59"/>
  <c r="O530" i="59"/>
  <c r="L46" i="59"/>
  <c r="K46" i="59" s="1"/>
  <c r="M46" i="59" s="1"/>
  <c r="L35" i="59"/>
  <c r="K35" i="59" s="1"/>
  <c r="M35" i="59" s="1"/>
  <c r="Q35" i="59" s="1"/>
  <c r="L45" i="59"/>
  <c r="K45" i="59" s="1"/>
  <c r="M45" i="59" s="1"/>
  <c r="L13" i="59"/>
  <c r="K13" i="59" s="1"/>
  <c r="M13" i="59" s="1"/>
  <c r="L281" i="59"/>
  <c r="K281" i="59" s="1"/>
  <c r="M281" i="59" s="1"/>
  <c r="L177" i="59"/>
  <c r="K177" i="59" s="1"/>
  <c r="M177" i="59" s="1"/>
  <c r="L167" i="59"/>
  <c r="K167" i="59" s="1"/>
  <c r="M167" i="59" s="1"/>
  <c r="L49" i="59"/>
  <c r="K49" i="59" s="1"/>
  <c r="M49" i="59" s="1"/>
  <c r="L178" i="59"/>
  <c r="K178" i="59" s="1"/>
  <c r="M178" i="59" s="1"/>
  <c r="L94" i="59"/>
  <c r="K94" i="59" s="1"/>
  <c r="M94" i="59" s="1"/>
  <c r="O94" i="59" s="1"/>
  <c r="L92" i="59"/>
  <c r="K92" i="59" s="1"/>
  <c r="M92" i="59" s="1"/>
  <c r="L183" i="59"/>
  <c r="K183" i="59" s="1"/>
  <c r="M183" i="59" s="1"/>
  <c r="L181" i="59"/>
  <c r="K181" i="59" s="1"/>
  <c r="M181" i="59" s="1"/>
  <c r="L118" i="59"/>
  <c r="K118" i="59" s="1"/>
  <c r="M118" i="59" s="1"/>
  <c r="L114" i="59"/>
  <c r="K114" i="59" s="1"/>
  <c r="M114" i="59" s="1"/>
  <c r="L55" i="59"/>
  <c r="K55" i="59" s="1"/>
  <c r="M55" i="59" s="1"/>
  <c r="L124" i="59"/>
  <c r="K124" i="59" s="1"/>
  <c r="M124" i="59" s="1"/>
  <c r="O124" i="59" s="1"/>
  <c r="L37" i="59"/>
  <c r="K37" i="59" s="1"/>
  <c r="M37" i="59" s="1"/>
  <c r="R37" i="59" s="1"/>
  <c r="L29" i="59"/>
  <c r="K29" i="59" s="1"/>
  <c r="M29" i="59" s="1"/>
  <c r="L279" i="59"/>
  <c r="K279" i="59" s="1"/>
  <c r="M279" i="59" s="1"/>
  <c r="Q279" i="59" s="1"/>
  <c r="L175" i="59"/>
  <c r="K175" i="59" s="1"/>
  <c r="M175" i="59" s="1"/>
  <c r="O175" i="59" s="1"/>
  <c r="L171" i="59"/>
  <c r="K171" i="59" s="1"/>
  <c r="M171" i="59" s="1"/>
  <c r="L165" i="59"/>
  <c r="K165" i="59" s="1"/>
  <c r="M165" i="59" s="1"/>
  <c r="O165" i="59" s="1"/>
  <c r="L138" i="59"/>
  <c r="K138" i="59" s="1"/>
  <c r="M138" i="59" s="1"/>
  <c r="L52" i="59"/>
  <c r="K52" i="59" s="1"/>
  <c r="M52" i="59" s="1"/>
  <c r="L91" i="59"/>
  <c r="K91" i="59" s="1"/>
  <c r="M91" i="59" s="1"/>
  <c r="L172" i="59"/>
  <c r="K172" i="59" s="1"/>
  <c r="M172" i="59" s="1"/>
  <c r="L119" i="59"/>
  <c r="K119" i="59" s="1"/>
  <c r="M119" i="59" s="1"/>
  <c r="L95" i="59"/>
  <c r="K95" i="59" s="1"/>
  <c r="M95" i="59" s="1"/>
  <c r="R95" i="59" s="1"/>
  <c r="L30" i="59"/>
  <c r="K30" i="59" s="1"/>
  <c r="M30" i="59" s="1"/>
  <c r="L123" i="59"/>
  <c r="K123" i="59" s="1"/>
  <c r="M123" i="59" s="1"/>
  <c r="L26" i="59"/>
  <c r="K26" i="59" s="1"/>
  <c r="M26" i="59" s="1"/>
  <c r="O284" i="59"/>
  <c r="R284" i="59"/>
  <c r="O300" i="59"/>
  <c r="R300" i="59"/>
  <c r="Q300" i="59"/>
  <c r="R342" i="59"/>
  <c r="Q342" i="59"/>
  <c r="R354" i="59"/>
  <c r="O354" i="59"/>
  <c r="R404" i="59"/>
  <c r="O404" i="59"/>
  <c r="P539" i="59"/>
  <c r="P543" i="59" s="1"/>
  <c r="P544" i="59" s="1"/>
  <c r="P545" i="59" s="1"/>
  <c r="O144" i="59"/>
  <c r="Q109" i="59"/>
  <c r="L260" i="59"/>
  <c r="K260" i="59" s="1"/>
  <c r="M260" i="59" s="1"/>
  <c r="L257" i="59"/>
  <c r="K257" i="59" s="1"/>
  <c r="M257" i="59" s="1"/>
  <c r="L27" i="59"/>
  <c r="K27" i="59" s="1"/>
  <c r="M27" i="59" s="1"/>
  <c r="L103" i="59"/>
  <c r="K103" i="59" s="1"/>
  <c r="M103" i="59" s="1"/>
  <c r="L90" i="59"/>
  <c r="K90" i="59" s="1"/>
  <c r="M90" i="59" s="1"/>
  <c r="L182" i="59"/>
  <c r="K182" i="59" s="1"/>
  <c r="M182" i="59" s="1"/>
  <c r="L93" i="59"/>
  <c r="K93" i="59" s="1"/>
  <c r="M93" i="59" s="1"/>
  <c r="L156" i="59"/>
  <c r="K156" i="59" s="1"/>
  <c r="M156" i="59" s="1"/>
  <c r="O156" i="59" s="1"/>
  <c r="L43" i="59"/>
  <c r="K43" i="59" s="1"/>
  <c r="M43" i="59" s="1"/>
  <c r="L139" i="59"/>
  <c r="K139" i="59" s="1"/>
  <c r="M139" i="59" s="1"/>
  <c r="L270" i="59"/>
  <c r="K270" i="59" s="1"/>
  <c r="M270" i="59" s="1"/>
  <c r="Q404" i="59"/>
  <c r="O63" i="59"/>
  <c r="R63" i="59"/>
  <c r="Q83" i="59"/>
  <c r="O83" i="59"/>
  <c r="Q212" i="59"/>
  <c r="O212" i="59"/>
  <c r="R224" i="59"/>
  <c r="Q224" i="59"/>
  <c r="O224" i="59"/>
  <c r="R236" i="59"/>
  <c r="Q236" i="59"/>
  <c r="O236" i="59"/>
  <c r="R263" i="59"/>
  <c r="O263" i="59"/>
  <c r="Q366" i="59"/>
  <c r="R366" i="59"/>
  <c r="R376" i="59"/>
  <c r="Q376" i="59"/>
  <c r="R388" i="59"/>
  <c r="Q388" i="59"/>
  <c r="R392" i="59"/>
  <c r="O392" i="59"/>
  <c r="R432" i="59"/>
  <c r="O432" i="59"/>
  <c r="Q450" i="59"/>
  <c r="O450" i="59"/>
  <c r="O454" i="59"/>
  <c r="R454" i="59"/>
  <c r="R524" i="59"/>
  <c r="O524" i="59"/>
  <c r="L20" i="59"/>
  <c r="K20" i="59" s="1"/>
  <c r="M20" i="59" s="1"/>
  <c r="R20" i="59" s="1"/>
  <c r="O120" i="59"/>
  <c r="R17" i="59"/>
  <c r="O17" i="59"/>
  <c r="R79" i="59"/>
  <c r="Q79" i="59"/>
  <c r="R160" i="59"/>
  <c r="Q160" i="59"/>
  <c r="Q205" i="59"/>
  <c r="R205" i="59"/>
  <c r="R233" i="59"/>
  <c r="Q233" i="59"/>
  <c r="Q264" i="59"/>
  <c r="O264" i="59"/>
  <c r="Q310" i="59"/>
  <c r="O310" i="59"/>
  <c r="Q326" i="59"/>
  <c r="R326" i="59"/>
  <c r="O427" i="59"/>
  <c r="R427" i="59"/>
  <c r="R75" i="59"/>
  <c r="Q75" i="59"/>
  <c r="O75" i="59"/>
  <c r="O190" i="59"/>
  <c r="R190" i="59"/>
  <c r="Q190" i="59"/>
  <c r="O222" i="59"/>
  <c r="Q222" i="59"/>
  <c r="R222" i="59"/>
  <c r="O232" i="59"/>
  <c r="R232" i="59"/>
  <c r="R268" i="59"/>
  <c r="Q268" i="59"/>
  <c r="Q302" i="59"/>
  <c r="O302" i="59"/>
  <c r="O316" i="59"/>
  <c r="R316" i="59"/>
  <c r="R456" i="59"/>
  <c r="Q456" i="59"/>
  <c r="R501" i="59"/>
  <c r="O501" i="59"/>
  <c r="R478" i="59"/>
  <c r="O478" i="59"/>
  <c r="Q125" i="59"/>
  <c r="O125" i="59"/>
  <c r="R125" i="59"/>
  <c r="Q488" i="59"/>
  <c r="R488" i="59"/>
  <c r="R481" i="59"/>
  <c r="O481" i="59"/>
  <c r="R97" i="59"/>
  <c r="O97" i="59"/>
  <c r="Q48" i="59"/>
  <c r="O48" i="59"/>
  <c r="R48" i="59"/>
  <c r="R505" i="59"/>
  <c r="O505" i="59"/>
  <c r="Q51" i="59"/>
  <c r="R51" i="59"/>
  <c r="O493" i="59"/>
  <c r="Q493" i="59"/>
  <c r="R108" i="59"/>
  <c r="O108" i="59"/>
  <c r="Q25" i="59"/>
  <c r="O25" i="59"/>
  <c r="R25" i="59"/>
  <c r="Q184" i="59"/>
  <c r="O184" i="59"/>
  <c r="R184" i="59"/>
  <c r="O24" i="59"/>
  <c r="Q24" i="59"/>
  <c r="R24" i="59"/>
  <c r="O136" i="59"/>
  <c r="R136" i="59"/>
  <c r="Q136" i="59"/>
  <c r="Q187" i="59"/>
  <c r="O187" i="59"/>
  <c r="R187" i="59"/>
  <c r="R193" i="59"/>
  <c r="Q193" i="59"/>
  <c r="O193" i="59"/>
  <c r="O240" i="59"/>
  <c r="R240" i="59"/>
  <c r="Q240" i="59"/>
  <c r="Q371" i="59"/>
  <c r="O371" i="59"/>
  <c r="R371" i="59"/>
  <c r="R325" i="59"/>
  <c r="O325" i="59"/>
  <c r="O163" i="59"/>
  <c r="R163" i="59"/>
  <c r="Q163" i="59"/>
  <c r="Q391" i="59"/>
  <c r="R391" i="59"/>
  <c r="Q465" i="59"/>
  <c r="R465" i="59"/>
  <c r="Q110" i="59"/>
  <c r="O110" i="59"/>
  <c r="R110" i="59"/>
  <c r="Q82" i="59"/>
  <c r="O82" i="59"/>
  <c r="R82" i="59"/>
  <c r="Q76" i="59"/>
  <c r="O76" i="59"/>
  <c r="R76" i="59"/>
  <c r="R204" i="59"/>
  <c r="Q204" i="59"/>
  <c r="O204" i="59"/>
  <c r="R345" i="59"/>
  <c r="Q345" i="59"/>
  <c r="O345" i="59"/>
  <c r="R317" i="59"/>
  <c r="Q317" i="59"/>
  <c r="O317" i="59"/>
  <c r="Q331" i="59"/>
  <c r="R331" i="59"/>
  <c r="O255" i="59"/>
  <c r="Q255" i="59"/>
  <c r="L179" i="59"/>
  <c r="K179" i="59" s="1"/>
  <c r="M179" i="59" s="1"/>
  <c r="R115" i="59"/>
  <c r="Q115" i="59"/>
  <c r="O115" i="59"/>
  <c r="R278" i="59"/>
  <c r="Q278" i="59"/>
  <c r="O278" i="59"/>
  <c r="R494" i="59"/>
  <c r="O494" i="59"/>
  <c r="Q494" i="59"/>
  <c r="R517" i="59"/>
  <c r="Q517" i="59"/>
  <c r="O517" i="59"/>
  <c r="Q491" i="59"/>
  <c r="R491" i="59"/>
  <c r="O491" i="59"/>
  <c r="R498" i="59"/>
  <c r="Q498" i="59"/>
  <c r="O498" i="59"/>
  <c r="O500" i="59"/>
  <c r="R500" i="59"/>
  <c r="Q500" i="59"/>
  <c r="Q507" i="59"/>
  <c r="O507" i="59"/>
  <c r="R507" i="59"/>
  <c r="O519" i="59"/>
  <c r="Q519" i="59"/>
  <c r="R519" i="59"/>
  <c r="Q480" i="59"/>
  <c r="R480" i="59"/>
  <c r="O480" i="59"/>
  <c r="Q174" i="59"/>
  <c r="O174" i="59"/>
  <c r="R174" i="59"/>
  <c r="O155" i="59"/>
  <c r="R155" i="59"/>
  <c r="Q155" i="59"/>
  <c r="Q496" i="59"/>
  <c r="O496" i="59"/>
  <c r="R496" i="59"/>
  <c r="R503" i="59"/>
  <c r="O503" i="59"/>
  <c r="Q503" i="59"/>
  <c r="Q509" i="59"/>
  <c r="O509" i="59"/>
  <c r="R509" i="59"/>
  <c r="O159" i="59"/>
  <c r="Q159" i="59"/>
  <c r="R159" i="59"/>
  <c r="O59" i="59"/>
  <c r="R59" i="59"/>
  <c r="Q59" i="59"/>
  <c r="O53" i="59"/>
  <c r="R53" i="59"/>
  <c r="Q53" i="59"/>
  <c r="Q158" i="59"/>
  <c r="O158" i="59"/>
  <c r="R158" i="59"/>
  <c r="O170" i="59"/>
  <c r="Q170" i="59"/>
  <c r="R170" i="59"/>
  <c r="O56" i="59"/>
  <c r="Q56" i="59"/>
  <c r="R56" i="59"/>
  <c r="O153" i="59"/>
  <c r="R153" i="59"/>
  <c r="Q153" i="59"/>
  <c r="Q495" i="59"/>
  <c r="O495" i="59"/>
  <c r="R495" i="59"/>
  <c r="Q502" i="59"/>
  <c r="O502" i="59"/>
  <c r="R502" i="59"/>
  <c r="R504" i="59"/>
  <c r="Q504" i="59"/>
  <c r="O504" i="59"/>
  <c r="R516" i="59"/>
  <c r="Q516" i="59"/>
  <c r="O516" i="59"/>
  <c r="R482" i="59"/>
  <c r="Q482" i="59"/>
  <c r="O482" i="59"/>
  <c r="O489" i="59"/>
  <c r="R489" i="59"/>
  <c r="Q489" i="59"/>
  <c r="R492" i="59"/>
  <c r="Q492" i="59"/>
  <c r="O492" i="59"/>
  <c r="O499" i="59"/>
  <c r="R499" i="59"/>
  <c r="Q499" i="59"/>
  <c r="Q506" i="59"/>
  <c r="O506" i="59"/>
  <c r="R506" i="59"/>
  <c r="Q508" i="59"/>
  <c r="R508" i="59"/>
  <c r="O508" i="59"/>
  <c r="Q520" i="59"/>
  <c r="R520" i="59"/>
  <c r="O520" i="59"/>
  <c r="O67" i="59"/>
  <c r="Q67" i="59"/>
  <c r="R67" i="59"/>
  <c r="Q122" i="59"/>
  <c r="R122" i="59"/>
  <c r="O122" i="59"/>
  <c r="O185" i="59"/>
  <c r="R185" i="59"/>
  <c r="Q185" i="59"/>
  <c r="R215" i="59"/>
  <c r="O215" i="59"/>
  <c r="O348" i="59"/>
  <c r="R348" i="59"/>
  <c r="Q348" i="59"/>
  <c r="O382" i="59"/>
  <c r="Q382" i="59"/>
  <c r="O394" i="59"/>
  <c r="R394" i="59"/>
  <c r="Q394" i="59"/>
  <c r="Q414" i="59"/>
  <c r="O414" i="59"/>
  <c r="R418" i="59"/>
  <c r="Q418" i="59"/>
  <c r="O418" i="59"/>
  <c r="R529" i="59"/>
  <c r="Q529" i="59"/>
  <c r="O529" i="59"/>
  <c r="R497" i="59"/>
  <c r="O488" i="59"/>
  <c r="Q97" i="59"/>
  <c r="Q481" i="59"/>
  <c r="Q505" i="59"/>
  <c r="O128" i="59"/>
  <c r="Q518" i="59"/>
  <c r="Q501" i="59"/>
  <c r="Q50" i="59"/>
  <c r="Q473" i="59"/>
  <c r="Q393" i="59"/>
  <c r="R399" i="59"/>
  <c r="Q319" i="59"/>
  <c r="R258" i="59"/>
  <c r="O313" i="59"/>
  <c r="O301" i="59"/>
  <c r="R132" i="59"/>
  <c r="Q133" i="59"/>
  <c r="O469" i="59"/>
  <c r="Q369" i="59"/>
  <c r="O80" i="59"/>
  <c r="R130" i="59"/>
  <c r="O249" i="59"/>
  <c r="Q144" i="59"/>
  <c r="Q359" i="59"/>
  <c r="O295" i="59"/>
  <c r="O40" i="59"/>
  <c r="O150" i="59"/>
  <c r="R255" i="59"/>
  <c r="Q44" i="59"/>
  <c r="R109" i="59"/>
  <c r="R361" i="59"/>
  <c r="R243" i="59"/>
  <c r="R303" i="59"/>
  <c r="O198" i="59"/>
  <c r="Q58" i="59"/>
  <c r="O57" i="59"/>
  <c r="Q373" i="59"/>
  <c r="Q242" i="59"/>
  <c r="R64" i="59"/>
  <c r="Q64" i="59"/>
  <c r="O22" i="59"/>
  <c r="Q22" i="59"/>
  <c r="R88" i="59"/>
  <c r="Q88" i="59"/>
  <c r="R186" i="59"/>
  <c r="Q186" i="59"/>
  <c r="Q202" i="59"/>
  <c r="O202" i="59"/>
  <c r="O347" i="59"/>
  <c r="R347" i="59"/>
  <c r="Q239" i="59"/>
  <c r="O239" i="59"/>
  <c r="Q351" i="59"/>
  <c r="O351" i="59"/>
  <c r="Q385" i="59"/>
  <c r="O385" i="59"/>
  <c r="O375" i="59"/>
  <c r="R375" i="59"/>
  <c r="O102" i="59"/>
  <c r="R102" i="59"/>
  <c r="Q148" i="59"/>
  <c r="O148" i="59"/>
  <c r="Q299" i="59"/>
  <c r="O299" i="59"/>
  <c r="O335" i="59"/>
  <c r="R335" i="59"/>
  <c r="R73" i="59"/>
  <c r="Q73" i="59"/>
  <c r="O73" i="59"/>
  <c r="R208" i="59"/>
  <c r="Q208" i="59"/>
  <c r="O208" i="59"/>
  <c r="Q362" i="59"/>
  <c r="O362" i="59"/>
  <c r="R362" i="59"/>
  <c r="O364" i="59"/>
  <c r="R364" i="59"/>
  <c r="Q364" i="59"/>
  <c r="R400" i="59"/>
  <c r="Q400" i="59"/>
  <c r="O400" i="59"/>
  <c r="R421" i="59"/>
  <c r="Q421" i="59"/>
  <c r="O421" i="59"/>
  <c r="Q523" i="59"/>
  <c r="R523" i="59"/>
  <c r="O523" i="59"/>
  <c r="Q478" i="59"/>
  <c r="O497" i="59"/>
  <c r="R493" i="59"/>
  <c r="Q128" i="59"/>
  <c r="O51" i="59"/>
  <c r="R50" i="59"/>
  <c r="Q469" i="59"/>
  <c r="R112" i="59"/>
  <c r="Q39" i="59"/>
  <c r="O141" i="59"/>
  <c r="Q466" i="59"/>
  <c r="O405" i="59"/>
  <c r="R349" i="59"/>
  <c r="O285" i="59"/>
  <c r="Q305" i="59"/>
  <c r="O200" i="59"/>
  <c r="O60" i="59"/>
  <c r="O10" i="59"/>
  <c r="Q249" i="59"/>
  <c r="Q150" i="59"/>
  <c r="Q277" i="59"/>
  <c r="O44" i="59"/>
  <c r="Q389" i="59"/>
  <c r="O293" i="59"/>
  <c r="O283" i="59"/>
  <c r="O274" i="59"/>
  <c r="O137" i="59"/>
  <c r="Q86" i="59"/>
  <c r="R28" i="59"/>
  <c r="R373" i="59"/>
  <c r="O242" i="59"/>
  <c r="R299" i="59"/>
  <c r="O11" i="59"/>
  <c r="Q11" i="59"/>
  <c r="Q74" i="59"/>
  <c r="O74" i="59"/>
  <c r="R72" i="59"/>
  <c r="Q72" i="59"/>
  <c r="R203" i="59"/>
  <c r="Q203" i="59"/>
  <c r="O327" i="59"/>
  <c r="R327" i="59"/>
  <c r="R309" i="59"/>
  <c r="Q309" i="59"/>
  <c r="R323" i="59"/>
  <c r="Q323" i="59"/>
  <c r="Q363" i="59"/>
  <c r="O363" i="59"/>
  <c r="O468" i="59"/>
  <c r="R468" i="59"/>
  <c r="R277" i="59"/>
  <c r="R389" i="59"/>
  <c r="Q293" i="59"/>
  <c r="Q274" i="59"/>
  <c r="R86" i="59"/>
  <c r="O341" i="59"/>
  <c r="R341" i="59"/>
  <c r="Q215" i="59"/>
  <c r="Q280" i="59"/>
  <c r="O280" i="59"/>
  <c r="R280" i="59"/>
  <c r="Q23" i="59"/>
  <c r="O23" i="59"/>
  <c r="O267" i="59"/>
  <c r="R267" i="59"/>
  <c r="Q267" i="59"/>
  <c r="Q269" i="59"/>
  <c r="O269" i="59"/>
  <c r="R269" i="59"/>
  <c r="Q290" i="59"/>
  <c r="O290" i="59"/>
  <c r="R290" i="59"/>
  <c r="Q330" i="59"/>
  <c r="O330" i="59"/>
  <c r="R330" i="59"/>
  <c r="Q338" i="59"/>
  <c r="O338" i="59"/>
  <c r="R228" i="59"/>
  <c r="O228" i="59"/>
  <c r="Q228" i="59"/>
  <c r="O235" i="59"/>
  <c r="R235" i="59"/>
  <c r="Q235" i="59"/>
  <c r="R238" i="59"/>
  <c r="O238" i="59"/>
  <c r="Q238" i="59"/>
  <c r="R452" i="59"/>
  <c r="Q452" i="59"/>
  <c r="R462" i="59"/>
  <c r="Q462" i="59"/>
  <c r="R476" i="59"/>
  <c r="Q476" i="59"/>
  <c r="O476" i="59"/>
  <c r="Q484" i="59"/>
  <c r="O484" i="59"/>
  <c r="R487" i="59"/>
  <c r="O487" i="59"/>
  <c r="Q487" i="59"/>
  <c r="R23" i="59"/>
  <c r="R219" i="59"/>
  <c r="Q219" i="59"/>
  <c r="O219" i="59"/>
  <c r="O226" i="59"/>
  <c r="Q226" i="59"/>
  <c r="O423" i="59"/>
  <c r="R423" i="59"/>
  <c r="R437" i="59"/>
  <c r="Q437" i="59"/>
  <c r="O437" i="59"/>
  <c r="R440" i="59"/>
  <c r="Q440" i="59"/>
  <c r="Q442" i="59"/>
  <c r="O442" i="59"/>
  <c r="R442" i="59"/>
  <c r="O445" i="59"/>
  <c r="R445" i="59"/>
  <c r="R350" i="59"/>
  <c r="Q350" i="59"/>
  <c r="O350" i="59"/>
  <c r="O483" i="59"/>
  <c r="R483" i="59"/>
  <c r="R66" i="59"/>
  <c r="Q89" i="59"/>
  <c r="R334" i="59"/>
  <c r="Q334" i="59"/>
  <c r="O334" i="59"/>
  <c r="O253" i="59" l="1"/>
  <c r="R34" i="59"/>
  <c r="O34" i="59"/>
  <c r="O169" i="59"/>
  <c r="R522" i="59"/>
  <c r="Q99" i="59"/>
  <c r="Q94" i="59"/>
  <c r="R173" i="59"/>
  <c r="Q18" i="59"/>
  <c r="Q196" i="59"/>
  <c r="R99" i="59"/>
  <c r="R196" i="59"/>
  <c r="O522" i="59"/>
  <c r="Q173" i="59"/>
  <c r="Q253" i="59"/>
  <c r="O166" i="59"/>
  <c r="O194" i="59"/>
  <c r="Q14" i="59"/>
  <c r="Q117" i="59"/>
  <c r="R14" i="59"/>
  <c r="Q194" i="59"/>
  <c r="Q180" i="59"/>
  <c r="O18" i="59"/>
  <c r="O105" i="59"/>
  <c r="Q105" i="59"/>
  <c r="Q169" i="59"/>
  <c r="R180" i="59"/>
  <c r="R279" i="59"/>
  <c r="Q165" i="59"/>
  <c r="R251" i="59"/>
  <c r="R165" i="59"/>
  <c r="O251" i="59"/>
  <c r="O37" i="59"/>
  <c r="R94" i="59"/>
  <c r="Q37" i="59"/>
  <c r="Q156" i="59"/>
  <c r="R117" i="59"/>
  <c r="O279" i="59"/>
  <c r="R156" i="59"/>
  <c r="O95" i="59"/>
  <c r="Q175" i="59"/>
  <c r="Q20" i="59"/>
  <c r="O20" i="59"/>
  <c r="Q27" i="59"/>
  <c r="R27" i="59"/>
  <c r="O27" i="59"/>
  <c r="R181" i="59"/>
  <c r="O181" i="59"/>
  <c r="Q181" i="59"/>
  <c r="O281" i="59"/>
  <c r="Q281" i="59"/>
  <c r="R281" i="59"/>
  <c r="O140" i="59"/>
  <c r="Q140" i="59"/>
  <c r="R140" i="59"/>
  <c r="O31" i="59"/>
  <c r="R31" i="59"/>
  <c r="Q31" i="59"/>
  <c r="O254" i="59"/>
  <c r="Q254" i="59"/>
  <c r="R254" i="59"/>
  <c r="R275" i="59"/>
  <c r="Q275" i="59"/>
  <c r="O275" i="59"/>
  <c r="Q124" i="59"/>
  <c r="R175" i="59"/>
  <c r="R139" i="59"/>
  <c r="Q139" i="59"/>
  <c r="O139" i="59"/>
  <c r="Q182" i="59"/>
  <c r="O182" i="59"/>
  <c r="R182" i="59"/>
  <c r="O257" i="59"/>
  <c r="R257" i="59"/>
  <c r="Q257" i="59"/>
  <c r="Q26" i="59"/>
  <c r="O26" i="59"/>
  <c r="R26" i="59"/>
  <c r="R119" i="59"/>
  <c r="Q119" i="59"/>
  <c r="O119" i="59"/>
  <c r="O138" i="59"/>
  <c r="R138" i="59"/>
  <c r="Q138" i="59"/>
  <c r="R55" i="59"/>
  <c r="Q55" i="59"/>
  <c r="O55" i="59"/>
  <c r="Q183" i="59"/>
  <c r="O183" i="59"/>
  <c r="R183" i="59"/>
  <c r="O49" i="59"/>
  <c r="R49" i="59"/>
  <c r="Q49" i="59"/>
  <c r="Q13" i="59"/>
  <c r="O13" i="59"/>
  <c r="R13" i="59"/>
  <c r="Q256" i="59"/>
  <c r="O256" i="59"/>
  <c r="R256" i="59"/>
  <c r="R259" i="59"/>
  <c r="Q259" i="59"/>
  <c r="O259" i="59"/>
  <c r="Q206" i="59"/>
  <c r="O206" i="59"/>
  <c r="R490" i="59"/>
  <c r="Q490" i="59"/>
  <c r="O490" i="59"/>
  <c r="Q93" i="59"/>
  <c r="R93" i="59"/>
  <c r="O93" i="59"/>
  <c r="R52" i="59"/>
  <c r="Q52" i="59"/>
  <c r="O52" i="59"/>
  <c r="O178" i="59"/>
  <c r="R178" i="59"/>
  <c r="Q178" i="59"/>
  <c r="Q46" i="59"/>
  <c r="O46" i="59"/>
  <c r="R46" i="59"/>
  <c r="R252" i="59"/>
  <c r="Q252" i="59"/>
  <c r="O252" i="59"/>
  <c r="Q127" i="59"/>
  <c r="O127" i="59"/>
  <c r="R127" i="59"/>
  <c r="R272" i="59"/>
  <c r="O272" i="59"/>
  <c r="Q272" i="59"/>
  <c r="R124" i="59"/>
  <c r="Q95" i="59"/>
  <c r="R43" i="59"/>
  <c r="O43" i="59"/>
  <c r="Q43" i="59"/>
  <c r="R90" i="59"/>
  <c r="Q90" i="59"/>
  <c r="O90" i="59"/>
  <c r="Q260" i="59"/>
  <c r="O260" i="59"/>
  <c r="R260" i="59"/>
  <c r="Q123" i="59"/>
  <c r="O123" i="59"/>
  <c r="R123" i="59"/>
  <c r="O172" i="59"/>
  <c r="R172" i="59"/>
  <c r="Q172" i="59"/>
  <c r="R29" i="59"/>
  <c r="Q29" i="59"/>
  <c r="O29" i="59"/>
  <c r="R114" i="59"/>
  <c r="O114" i="59"/>
  <c r="Q114" i="59"/>
  <c r="Q92" i="59"/>
  <c r="O92" i="59"/>
  <c r="R92" i="59"/>
  <c r="R167" i="59"/>
  <c r="Q167" i="59"/>
  <c r="O167" i="59"/>
  <c r="O45" i="59"/>
  <c r="Q45" i="59"/>
  <c r="R45" i="59"/>
  <c r="O54" i="59"/>
  <c r="R54" i="59"/>
  <c r="Q54" i="59"/>
  <c r="Q41" i="59"/>
  <c r="O41" i="59"/>
  <c r="R41" i="59"/>
  <c r="Q15" i="59"/>
  <c r="R15" i="59"/>
  <c r="O15" i="59"/>
  <c r="O261" i="59"/>
  <c r="R261" i="59"/>
  <c r="Q261" i="59"/>
  <c r="O162" i="59"/>
  <c r="Q162" i="59"/>
  <c r="R270" i="59"/>
  <c r="O270" i="59"/>
  <c r="Q270" i="59"/>
  <c r="O103" i="59"/>
  <c r="R103" i="59"/>
  <c r="Q103" i="59"/>
  <c r="Q30" i="59"/>
  <c r="O30" i="59"/>
  <c r="R30" i="59"/>
  <c r="R91" i="59"/>
  <c r="Q91" i="59"/>
  <c r="O91" i="59"/>
  <c r="Q171" i="59"/>
  <c r="O171" i="59"/>
  <c r="R171" i="59"/>
  <c r="R118" i="59"/>
  <c r="Q118" i="59"/>
  <c r="O118" i="59"/>
  <c r="Q177" i="59"/>
  <c r="O177" i="59"/>
  <c r="R177" i="59"/>
  <c r="R35" i="59"/>
  <c r="O35" i="59"/>
  <c r="R154" i="59"/>
  <c r="O154" i="59"/>
  <c r="Q154" i="59"/>
  <c r="Q38" i="59"/>
  <c r="O38" i="59"/>
  <c r="R38" i="59"/>
  <c r="O247" i="59"/>
  <c r="R247" i="59"/>
  <c r="R250" i="59"/>
  <c r="Q250" i="59"/>
  <c r="O250" i="59"/>
  <c r="R161" i="59"/>
  <c r="Q161" i="59"/>
  <c r="O161" i="59"/>
  <c r="R179" i="59"/>
  <c r="Q179" i="59"/>
  <c r="O179" i="59"/>
</calcChain>
</file>

<file path=xl/comments1.xml><?xml version="1.0" encoding="utf-8"?>
<comments xmlns="http://schemas.openxmlformats.org/spreadsheetml/2006/main">
  <authors>
    <author>Author</author>
  </authors>
  <commentList>
    <comment ref="A11" authorId="0" shapeId="0">
      <text>
        <r>
          <rPr>
            <b/>
            <sz val="9"/>
            <color indexed="81"/>
            <rFont val="Tahoma"/>
            <family val="2"/>
          </rPr>
          <t>Author:</t>
        </r>
        <r>
          <rPr>
            <sz val="9"/>
            <color indexed="81"/>
            <rFont val="Tahoma"/>
            <family val="2"/>
          </rPr>
          <t xml:space="preserve">
Base 2001=100
</t>
        </r>
        <r>
          <rPr>
            <b/>
            <sz val="9"/>
            <color indexed="81"/>
            <rFont val="Tahoma"/>
            <family val="2"/>
          </rPr>
          <t>Source</t>
        </r>
        <r>
          <rPr>
            <sz val="9"/>
            <color indexed="81"/>
            <rFont val="Tahoma"/>
            <family val="2"/>
          </rPr>
          <t>: http://labourbureau.nic.in/indtab.html</t>
        </r>
      </text>
    </comment>
  </commentList>
</comments>
</file>

<file path=xl/comments2.xml><?xml version="1.0" encoding="utf-8"?>
<comments xmlns="http://schemas.openxmlformats.org/spreadsheetml/2006/main">
  <authors>
    <author>Author</author>
  </authors>
  <commentList>
    <comment ref="E9" authorId="0" shapeId="0">
      <text>
        <r>
          <rPr>
            <b/>
            <sz val="9"/>
            <color indexed="81"/>
            <rFont val="Tahoma"/>
            <family val="2"/>
          </rPr>
          <t>Author:</t>
        </r>
        <r>
          <rPr>
            <sz val="9"/>
            <color indexed="81"/>
            <rFont val="Tahoma"/>
            <family val="2"/>
          </rPr>
          <t xml:space="preserve">
calculated with 29.67% escalation on 2012-13 rates</t>
        </r>
      </text>
    </comment>
  </commentList>
</comments>
</file>

<file path=xl/comments3.xml><?xml version="1.0" encoding="utf-8"?>
<comments xmlns="http://schemas.openxmlformats.org/spreadsheetml/2006/main">
  <authors>
    <author>Author</author>
  </authors>
  <commentList>
    <comment ref="E8" authorId="0" shapeId="0">
      <text>
        <r>
          <rPr>
            <b/>
            <sz val="9"/>
            <color indexed="81"/>
            <rFont val="Tahoma"/>
            <family val="2"/>
          </rPr>
          <t>Author:</t>
        </r>
        <r>
          <rPr>
            <sz val="9"/>
            <color indexed="81"/>
            <rFont val="Tahoma"/>
            <family val="2"/>
          </rPr>
          <t xml:space="preserve">
calculated with 29.67% escalation on 2012-13 rates</t>
        </r>
      </text>
    </comment>
  </commentList>
</comments>
</file>

<file path=xl/sharedStrings.xml><?xml version="1.0" encoding="utf-8"?>
<sst xmlns="http://schemas.openxmlformats.org/spreadsheetml/2006/main" count="8128" uniqueCount="1669">
  <si>
    <t>Unit</t>
  </si>
  <si>
    <t>Sl. No.</t>
  </si>
  <si>
    <t>Description of item of Work</t>
  </si>
  <si>
    <t>Per Pit</t>
  </si>
  <si>
    <t>Pole</t>
  </si>
  <si>
    <t>Per Pole Pit</t>
  </si>
  <si>
    <t>Erection of Stay with stone / RCC Stay plate Binding of Stay wire fitting of Stay clamps and "GUY" Insulator as required.</t>
  </si>
  <si>
    <t>Per Stay</t>
  </si>
  <si>
    <t>Per Pole</t>
  </si>
  <si>
    <t>Per 
Earthing</t>
  </si>
  <si>
    <t>Laying out and sagging of Earth wire (8 SWG) including termination and Mid span jointing.</t>
  </si>
  <si>
    <t>Each</t>
  </si>
  <si>
    <t>(b) Double pole with base plate.</t>
  </si>
  <si>
    <t>Per DP Complete</t>
  </si>
  <si>
    <t>Per DP</t>
  </si>
  <si>
    <t>b) For Double Pole</t>
  </si>
  <si>
    <t>Erection of Stay with stone / RCC Stay plate, Stay binding by fitting stay clamps etc.</t>
  </si>
  <si>
    <t>Per Switch</t>
  </si>
  <si>
    <t>Per Earthing</t>
  </si>
  <si>
    <t xml:space="preserve">Testing and Commissioning </t>
  </si>
  <si>
    <t>Per KM</t>
  </si>
  <si>
    <t>Per route Km.</t>
  </si>
  <si>
    <t xml:space="preserve">Stay pit excavation </t>
  </si>
  <si>
    <t xml:space="preserve">Erection of stay with stone /RCC stay plate and stay binding and fitting of stay clamps etc. and filling with earth and proper ramming thereof complete </t>
  </si>
  <si>
    <t>Per six sets</t>
  </si>
  <si>
    <t>Per earthing</t>
  </si>
  <si>
    <t xml:space="preserve">Laying out and sagging of GI wire no. 7/14 as earth wire including jointing to earth clamp (per three phases) </t>
  </si>
  <si>
    <t>Cutting of Rails</t>
  </si>
  <si>
    <t>Per cutting</t>
  </si>
  <si>
    <t>Rft. Of Pole length</t>
  </si>
  <si>
    <t xml:space="preserve">Jointing of rail pieces by welding by jointing fishplate's of M.S. channel and welding. </t>
  </si>
  <si>
    <t>Per inch of welding</t>
  </si>
  <si>
    <t>Drilling of hole in rail pole</t>
  </si>
  <si>
    <t>Per Hole</t>
  </si>
  <si>
    <t>Fitting of extra clamps</t>
  </si>
  <si>
    <t>Installation of 33KV AB Switch</t>
  </si>
  <si>
    <t>Each Set</t>
  </si>
  <si>
    <t>Per TP</t>
  </si>
  <si>
    <t>Per DP complete Set</t>
  </si>
  <si>
    <t>Fixing and fitting of 11KV Horn gap fuse set including making Horn gap for three phase as per approved design and direction of the Engineer I/c.</t>
  </si>
  <si>
    <t>Per Set</t>
  </si>
  <si>
    <t xml:space="preserve">Fixing and fitting of 11KV AB Switch complete set with handle etc. as per Tech. Specification and direction of E/I. </t>
  </si>
  <si>
    <t>Per Transformer</t>
  </si>
  <si>
    <t>Fixing and fitting of one set of Lightning Arrestor consisting of 3 Nos. Lighting Arrestor with its connections to the phase conductors and to Earth for all the three phase.</t>
  </si>
  <si>
    <t xml:space="preserve">complete for each pole mounted sub-station </t>
  </si>
  <si>
    <t xml:space="preserve">Per Earthing </t>
  </si>
  <si>
    <t>b) Transformer body and Lightning Arrestor as per approved drawings and design including its charcoal connections salf. Etc. to supplied by the contractor.</t>
  </si>
  <si>
    <t>Each D/S/S</t>
  </si>
  <si>
    <t>Erection of LTCT Meter with meter box with Modem and SIM including connections complete as per Engineer- in- charge .</t>
  </si>
  <si>
    <t>b) Laying out M.S. flat (50x6mm) matting and earth connection with earthing pipe as per technical specifciation and painting the joints with anti corrosive paints.</t>
  </si>
  <si>
    <t>Per Meter</t>
  </si>
  <si>
    <t xml:space="preserve">c) Welding of M.S. flat to different structure of sub-station. </t>
  </si>
  <si>
    <t>Per Point</t>
  </si>
  <si>
    <t xml:space="preserve">Per Set </t>
  </si>
  <si>
    <t>Per Horizontal
Meter</t>
  </si>
  <si>
    <t>a) For 33KV side</t>
  </si>
  <si>
    <t xml:space="preserve">b) For 11KV Side </t>
  </si>
  <si>
    <t>Fixing and fitting of post insulator on pedestal support structure including fixing of lower bus bar (Al. pipe.), jumper connection to the lower bus bar and to the swing bus</t>
  </si>
  <si>
    <t>For All Three Phase</t>
  </si>
  <si>
    <t>Per erected kiosk</t>
  </si>
  <si>
    <t>Connections of power transformer neutral with separate earth pit with copper flat of requisite size.</t>
  </si>
  <si>
    <t>Unskilled</t>
  </si>
  <si>
    <t>Semi-skilled</t>
  </si>
  <si>
    <t>Skilled</t>
  </si>
  <si>
    <t>Highly-skilled</t>
  </si>
  <si>
    <t>VDA</t>
  </si>
  <si>
    <t>Basic Minimum</t>
  </si>
  <si>
    <t>Total Minimum</t>
  </si>
  <si>
    <t>Labour Category</t>
  </si>
  <si>
    <t>Percent rise in labour rate (over 2014 rates)</t>
  </si>
  <si>
    <t>Rate as per notification no. 1334 dtd. 28/08/2014 
(w.e.f. 01st Oct 2014)</t>
  </si>
  <si>
    <t>Rates as per Labour, Planning , Training and Skills Development department of Government of Jharkhand Notification
No.2/MW-20-02/2015 L &amp; E -1467 Ranchi, dated 14/08/15
(Basic minimum daily wages w.e.f. 14th August 2015)
&amp;
No.2/MW-2071/2010 L &amp; T -580 Ranchi, dated 31/03/16
(VDA w.e.f. 1st April 2016)</t>
  </si>
  <si>
    <t>Percentage increase in avaerage labour rates Rates as per Government of Jharkhand Notification
No.2/MW-20-02/2015 L &amp; E -1467 Ranchi, dated 14/08/15</t>
  </si>
  <si>
    <t xml:space="preserve">b) Double pole </t>
  </si>
  <si>
    <t>A</t>
  </si>
  <si>
    <t>B</t>
  </si>
  <si>
    <t>C</t>
  </si>
  <si>
    <t>D</t>
  </si>
  <si>
    <t>E</t>
  </si>
  <si>
    <t xml:space="preserve">Erection of Rail pole beyond specified length including excavation of extra pole pit depth for special locations. </t>
  </si>
  <si>
    <t>b) For 11KV</t>
  </si>
  <si>
    <t>a) For 33KV</t>
  </si>
  <si>
    <t>Laying out and sagging of Conductor Including mid jointing wherever necessray for the three phases</t>
  </si>
  <si>
    <t>LS / per km</t>
  </si>
  <si>
    <t>Fitting of MS angle on V cross arm with rail pole as tie</t>
  </si>
  <si>
    <t>per V cross arm</t>
  </si>
  <si>
    <t>Drilling of hole in V Cross / Clamp/ angle/ flat etc</t>
  </si>
  <si>
    <t>per Hole</t>
  </si>
  <si>
    <t>Per TP Complete</t>
  </si>
  <si>
    <t>Per FP Complete</t>
  </si>
  <si>
    <t>N/A</t>
  </si>
  <si>
    <t>Per FP</t>
  </si>
  <si>
    <t>G</t>
  </si>
  <si>
    <t>H</t>
  </si>
  <si>
    <t>I</t>
  </si>
  <si>
    <t>J</t>
  </si>
  <si>
    <t>K</t>
  </si>
  <si>
    <t>L</t>
  </si>
  <si>
    <t>M</t>
  </si>
  <si>
    <t>N</t>
  </si>
  <si>
    <t>O</t>
  </si>
  <si>
    <t>P</t>
  </si>
  <si>
    <t>Q</t>
  </si>
  <si>
    <t>R</t>
  </si>
  <si>
    <t>(a) Single pole with base plate.</t>
  </si>
  <si>
    <t xml:space="preserve">a) Single pole </t>
  </si>
  <si>
    <t>a) Fitting of pin insulator on bracket on single pole</t>
  </si>
  <si>
    <t>Qty.</t>
  </si>
  <si>
    <t>TOTAL</t>
  </si>
  <si>
    <t>S</t>
  </si>
  <si>
    <t>T</t>
  </si>
  <si>
    <t>Work Particular</t>
  </si>
  <si>
    <t>(a) Single pole with base plate</t>
  </si>
  <si>
    <t>(b) Double pole with base plate</t>
  </si>
  <si>
    <t>S.No.</t>
  </si>
  <si>
    <t>(b) Double PSC Pole 400 KG W.L (9 mtr.)</t>
  </si>
  <si>
    <t>(a) Single PSC Pole 400 KG W.L (9 mtr.)</t>
  </si>
  <si>
    <t>Erection of Pole</t>
  </si>
  <si>
    <t>Fitting of HT Brackets and Earths wire clamps:</t>
  </si>
  <si>
    <t>a) For Single Pole</t>
  </si>
  <si>
    <t>Stay Pit Excavation</t>
  </si>
  <si>
    <t>Laying out and sagging of conductor including termination at cut point / DP and Mid Span jointing for all the three phases wherever necessary.</t>
  </si>
  <si>
    <t>Per Route Km</t>
  </si>
  <si>
    <t>(a)Fixing and placing of the Transformer (25/63/100/200KVA) on Transformer base fixing with pole with proper clamps and Angle lron, welding the transformer with transformer base channel and Transformer Angle Iron with clamps.</t>
  </si>
  <si>
    <t xml:space="preserve">a) For Neutral of the Transformer as per approved practice and design including its connections. </t>
  </si>
  <si>
    <t>Clerical</t>
  </si>
  <si>
    <t>Average (INCLUDING revision in clerical rate)</t>
  </si>
  <si>
    <t>Erection of Single PSC pole 200 KG W.L (8 mtr.)</t>
  </si>
  <si>
    <t>Per Route
KM</t>
  </si>
  <si>
    <t>b) Filling of Pole pit with earth in layers pouring water in each layer and ramming the earth properly as per standard practice of the Nigam.</t>
  </si>
  <si>
    <t>Earthing including fixing of GI Pipe and wire as per direction of Engineer I/C (GI Pipe and wire to be supplied by Nigam)</t>
  </si>
  <si>
    <t>c) Painting of structure bracket etc. by two coats of Al. paint after one coat of Red oxide paint (Paints to be supplied by Nigam)</t>
  </si>
  <si>
    <r>
      <t xml:space="preserve">Average </t>
    </r>
    <r>
      <rPr>
        <b/>
        <sz val="11"/>
        <color rgb="FFFF0000"/>
        <rFont val="Calibri"/>
        <family val="2"/>
        <scheme val="minor"/>
      </rPr>
      <t>*</t>
    </r>
  </si>
  <si>
    <t>(i) For Dog (100 sq.mm.) Conductor</t>
  </si>
  <si>
    <t xml:space="preserve">b) ACSR Dog (100 sq.mm.) </t>
  </si>
  <si>
    <t>(i) Dog (100 sq.mm.) Conductor</t>
  </si>
  <si>
    <t>(iii) For Panther (232 sq.mm.) Conductor</t>
  </si>
  <si>
    <t xml:space="preserve">a) ACSR Panther (232 sq.mm.) </t>
  </si>
  <si>
    <t>(ii) For Wolf (150 sq.mm.) Conductor</t>
  </si>
  <si>
    <t>(i) Racoon (80 sq.mm.) Conductor</t>
  </si>
  <si>
    <t>(ii) Weasel (34 sq.mm.) Conductor</t>
  </si>
  <si>
    <t>Erection of Pole  (Rail Pole 52 kg 13 mtrs.)</t>
  </si>
  <si>
    <t>Erection of Pole  (Rail Pole 60 kg 13 mtrs.)</t>
  </si>
  <si>
    <t>-</t>
  </si>
  <si>
    <t>Normal Soil</t>
  </si>
  <si>
    <t>Rocky Soil</t>
  </si>
  <si>
    <t>Pole pit excavation (for 52/60 kg 13 mtrs. Rail Pole)</t>
  </si>
  <si>
    <t>a) Filling of half depth of Pole pit with Jhama chips/stone chips and proper ramming after filling with earth in case of PSC Pole (stone/Jhama chips to be supplied by the contractor)</t>
  </si>
  <si>
    <t>Binding of conductor</t>
  </si>
  <si>
    <t>Manual Transportation of all materials: 
Unskilled 24 Mandays + Skilled (Electrician Grade-I) 2 Mandays</t>
  </si>
  <si>
    <t>RMT</t>
  </si>
  <si>
    <t xml:space="preserve">Refilling of cable trench for LT </t>
  </si>
  <si>
    <t xml:space="preserve">Per joint </t>
  </si>
  <si>
    <t xml:space="preserve">Cable Jointing,  Straight Through Joint  for 400 sq mm HT 3 core armoured cable </t>
  </si>
  <si>
    <t xml:space="preserve">Unit </t>
  </si>
  <si>
    <t xml:space="preserve">S. No. </t>
  </si>
  <si>
    <t>Fitting of all brackets (including top bracket and guard bracket) on</t>
  </si>
  <si>
    <t>Nos.</t>
  </si>
  <si>
    <t>Set</t>
  </si>
  <si>
    <t>Per cross bracing</t>
  </si>
  <si>
    <t>Per running Km. (3 phase)</t>
  </si>
  <si>
    <t>Laying out and sagging of Dog conductor at River crossing (if span exceeds more than 400 feet and upto 500 feet)</t>
  </si>
  <si>
    <t>Laying out and sagging of Wolf conductor at River crossing (if span exceeds more than 400 feet and upto 500 feet)</t>
  </si>
  <si>
    <t>Laying out and sagging of Panther conductor at River crossing (if span exceeds more than 400 feet and upto 500 feet)</t>
  </si>
  <si>
    <t>Laying out and sagging of Dog conductor at River crossing (if span exceeds more than 500 feet)</t>
  </si>
  <si>
    <t>Laying out and sagging of Wolf conductor at River crossing (if span exceeds more than 500 feet)</t>
  </si>
  <si>
    <t>Laying out and sagging of Panther conductor at River crossing (if span exceeds more than 500 feet)</t>
  </si>
  <si>
    <t>Survey and investigation including pegging</t>
  </si>
  <si>
    <t>+</t>
  </si>
  <si>
    <t>(a+b) OR c</t>
  </si>
  <si>
    <t>Pole pit excavation (for 400 KG W.L 9 mtr. PSC pole)</t>
  </si>
  <si>
    <t>b) Fixing of all Disc. Insulators with hardware including Pin Insulator (if necessary) on Double Pole structure</t>
  </si>
  <si>
    <t>Pin Binding as per standard practice or as per direction of Engineer I/C</t>
  </si>
  <si>
    <t>Jumpering connection of conductors including earth wires at all cut points / D.P. as per direction of the Engineer I/C</t>
  </si>
  <si>
    <t>Fixing and fitting of 11KV AB Switch on DP with all hardware fitting used for sectionalisting of Line as per direction of Engineer I/C</t>
  </si>
  <si>
    <t>Per Board</t>
  </si>
  <si>
    <t>Laying out and sagging of Racoon conductor at River crossing (if span exceeds more than 400 feet and upto 500 feet)</t>
  </si>
  <si>
    <t>Laying out and sagging of Racoon conductor at River crossing (if span exceeds more than 500 feet)</t>
  </si>
  <si>
    <t>Laying out and sagging of GI wire (7/12 SWG) including fitting of earth clamp and in mid span jointing wherever necessary</t>
  </si>
  <si>
    <t>Fitting of MS angle on V cross arm with PSC pole as tie (excluding back clamp on PSC Pole)</t>
  </si>
  <si>
    <t>Survey and investigating inlcuding pegging</t>
  </si>
  <si>
    <t>a) Filling of half depth of Pole pit with Jhama chips/stone chips and proper ramming after filling with earth in case of PSC Pole/Stone /Jhama chips to be supplied by the contractor</t>
  </si>
  <si>
    <t>Fitting and fixing of LT Horizontal Bracket and clamps, 8 pieces (if required) on Single Pole</t>
  </si>
  <si>
    <t>Fitting and fixing of LT Vertical Bracket and clamps for vertical formation from one to four as required</t>
  </si>
  <si>
    <t>Fitting and fixing of LT Pin / Shackle Insulator on bracket with its fixtures as required</t>
  </si>
  <si>
    <t>Earthing including fixing of GI Pipe and connecting GI wire to metal parts as per direction of the E/I (GI Pipe and wire to be supplied by the Nigam)</t>
  </si>
  <si>
    <t>a) Four Cut Point</t>
  </si>
  <si>
    <t>b) Three Cut Point</t>
  </si>
  <si>
    <t>c) Two Cut Point</t>
  </si>
  <si>
    <t>d) One Cut Point</t>
  </si>
  <si>
    <t>Binding of LT Pin/ Shackle</t>
  </si>
  <si>
    <t>Jumpering of LT Conductor/Earth Wire at Cut points</t>
  </si>
  <si>
    <t>Fixing of Spacer where required</t>
  </si>
  <si>
    <t>Laying out and sagging of Rabbit (55 sq.mm.) conductor including tremination at cut point and Mid span jointing wherever necessary</t>
  </si>
  <si>
    <t>Laying out and sagging of Weasel (34 sq.mm.) conductor including termination at cut point and Mid span jointing wherever necessary</t>
  </si>
  <si>
    <t>(c) Tri pole with base plate with cross bracing on rail pole</t>
  </si>
  <si>
    <t>(d) Four pole with base plate.</t>
  </si>
  <si>
    <t>(d) Four pole with base plate</t>
  </si>
  <si>
    <t>d) Four pole</t>
  </si>
  <si>
    <t>c) Tri pole</t>
  </si>
  <si>
    <t>(c) Tri PSC Pole 400 KG W.L (9 mtr.)</t>
  </si>
  <si>
    <t>(d) Four PSC Pole 400 KG W.L (9 mtr.)</t>
  </si>
  <si>
    <t>c) For Tri Pole</t>
  </si>
  <si>
    <t>d) For Four Pole</t>
  </si>
  <si>
    <t>(a) 3'x2'10' earth pit digging, laying of GI plate, GI Pipe, filling with charcoal and salt in proportionate quantity filling the earth pit with earth and taking out GI pipe for watering upto ground level and brick work for the same (charcoal, salt and brick to be supplied by the contractor)</t>
  </si>
  <si>
    <t>600 mm dia x 10 ft earth pit digging, laying of GI earthing pipe and filling of surrounding volume with Bentonite (45 kg as per IS 3043 - 1987) suspension formed by mixing bentonite with water in ratio 1:4 and taking out GI pipe for watering upto ground level and brick work for the same (brick and sand to be supplied by the contractor)</t>
  </si>
  <si>
    <t>Per pit</t>
  </si>
  <si>
    <t>Fitting of disc Insulator to swing bus structure with hardware fittings</t>
  </si>
  <si>
    <t>Fixing and fitting of AB switch complete with operating, handling and making necessary connections to the equipment</t>
  </si>
  <si>
    <t>Placing 11KV kiosk on plinth and jumpering connection to sub-station equipment</t>
  </si>
  <si>
    <t>New Labor rate as per Latest Govt. of Jharkhand Notification (in INR)</t>
  </si>
  <si>
    <t>Existing Rate as per Cost Data Book 2014-15 (in INR)</t>
  </si>
  <si>
    <t>Rate in INR</t>
  </si>
  <si>
    <t>F</t>
  </si>
  <si>
    <t>Fixing of Sub-Station Top channel, AB switch base channel, Horn gap fuse set base channel, Transformer Base channel, etc complete.</t>
  </si>
  <si>
    <t>Service Pipe of 20 mm dia 3 meter long</t>
  </si>
  <si>
    <t>Single phase energy meter  10-30/10-60 Amp with Meter Box</t>
  </si>
  <si>
    <t>2 core PVC Service cable 4 sqmm</t>
  </si>
  <si>
    <t>Meter</t>
  </si>
  <si>
    <t>Meter Board 10'x8'</t>
  </si>
  <si>
    <t>10 Amp Socket with Switch</t>
  </si>
  <si>
    <t>Support wire 14SWG</t>
  </si>
  <si>
    <t>KG</t>
  </si>
  <si>
    <t>Clamps &amp; Nut Bolts</t>
  </si>
  <si>
    <t>each</t>
  </si>
  <si>
    <t>Service Connection Charge</t>
  </si>
  <si>
    <t>Per Unit Cost</t>
  </si>
  <si>
    <t>@</t>
  </si>
  <si>
    <t>LED Bulb 8 Watt</t>
  </si>
  <si>
    <t>Item Code</t>
  </si>
  <si>
    <t>Material</t>
  </si>
  <si>
    <t>Rate (in INR)</t>
  </si>
  <si>
    <t>Amount (in INR)</t>
  </si>
  <si>
    <t>ACSR Dog conductor (100 sq. mm) Including 5% sag.</t>
  </si>
  <si>
    <t>KMs</t>
  </si>
  <si>
    <t>11 KV Back Clamp for top bracket [GALVANIZED]</t>
  </si>
  <si>
    <t>11 KV V cross arm (75x 40x 6 mm) [GALVANIZED]</t>
  </si>
  <si>
    <t>11 KV Back Clamp for "V" cross arm [GALVANIZED]</t>
  </si>
  <si>
    <t>Support Clamp for 11 KV 'V' Cross Arm [GALVANIZED]</t>
  </si>
  <si>
    <t>set</t>
  </si>
  <si>
    <t>11 KV 3 pin type AB switch 800 Amp</t>
  </si>
  <si>
    <t>11 KV Lightening Arrester (9KV,10KA, ClassII)</t>
  </si>
  <si>
    <t>A.23</t>
  </si>
  <si>
    <t>P G clamp for 34sq mm conductor</t>
  </si>
  <si>
    <t>Aluminium binding wire</t>
  </si>
  <si>
    <t>GI Wire No. 10 for earthing</t>
  </si>
  <si>
    <t>GI Stay Wire No. 7/10</t>
  </si>
  <si>
    <t>A.156</t>
  </si>
  <si>
    <t>Stone  Base Plate for 11KV</t>
  </si>
  <si>
    <t>Anticlimbing Device(Barbed wire)</t>
  </si>
  <si>
    <t>Pair</t>
  </si>
  <si>
    <t>11 KV D.P Channel support clamp (50x6 mm) [GALVANIZED]</t>
  </si>
  <si>
    <t>11 KV D.P Channel  (100x50x6 mm) 1.3 Meter long [GALVANIZED]</t>
  </si>
  <si>
    <t>Danger Board 11KV</t>
  </si>
  <si>
    <t>Sub Total (in INR)</t>
  </si>
  <si>
    <t>Sundries Charges including nut bolts, paint etc. (in INR)</t>
  </si>
  <si>
    <t>Contigencies Charges (in INR)</t>
  </si>
  <si>
    <t>Store Charges (in INR)</t>
  </si>
  <si>
    <t>Transportation Cost (in INR)</t>
  </si>
  <si>
    <t>T &amp; P Cost (in INR)</t>
  </si>
  <si>
    <t>Over head Cost (in INR)</t>
  </si>
  <si>
    <t>Labour Cost (as per respective labour cost analysis sheet) (in INR)</t>
  </si>
  <si>
    <t>TOTAL (I = A+B+C+D+E+F+G+H) (in INR)</t>
  </si>
  <si>
    <t>80 sq mm Racoon conductor Including 5% sag.</t>
  </si>
  <si>
    <t>34 sq mm weasel conductor Including 5% sag.</t>
  </si>
  <si>
    <t xml:space="preserve">Rail Pole 60 kgs per mtr 13 meter </t>
  </si>
  <si>
    <t>ACSR Panther conductor (232 sq. mm) Including 5% sag.</t>
  </si>
  <si>
    <t>33 KV Pole top bracket for 60kg Rail Pole [GALVANIZED]</t>
  </si>
  <si>
    <t>33 KV Back Clamp for top bracket [GALVANIZED]</t>
  </si>
  <si>
    <t>33 KV V cross arm (100x 50x 6 mm) [GALVANIZED]</t>
  </si>
  <si>
    <t>33 KV Lightening Arrester (30KV,10KA, classII)</t>
  </si>
  <si>
    <t>Stay set complete (1900x20 mm) with staywire 7/10 SWG 8 kgs &amp; guy Insulator)</t>
  </si>
  <si>
    <t>33 KV Angle stay clamp (50 x 6 mm) [GALVANIZED]</t>
  </si>
  <si>
    <t>P G clamp for 232 sq mm conductor</t>
  </si>
  <si>
    <t>GI Wire No. 8 for earthing</t>
  </si>
  <si>
    <t>GI Stay Wire No. 7/8</t>
  </si>
  <si>
    <t>MS Base Plate for 33KV</t>
  </si>
  <si>
    <t>33 KV D.P Channel support clamp (50x6 mm) [GALVANIZED]</t>
  </si>
  <si>
    <t>33 KV D.P Channel  (100x50x6 mm) 1.3 Meter long [GALVANIZED]</t>
  </si>
  <si>
    <t>Danger Board 33KV</t>
  </si>
  <si>
    <t>ACSR Wolfconductor (150 sq. mm) Including 5% sag.</t>
  </si>
  <si>
    <t>P G clamp for 150 sq mm conductor</t>
  </si>
  <si>
    <t>P G clamp for 100 sq mm conductor</t>
  </si>
  <si>
    <t>ACSR Panther Conductor (232 sq. mm)</t>
  </si>
  <si>
    <t>33 KV Post Insulator</t>
  </si>
  <si>
    <t>Aluminium pipe 40 mm dia</t>
  </si>
  <si>
    <t>Mtrs.</t>
  </si>
  <si>
    <t>Aluminium pipe connector</t>
  </si>
  <si>
    <t>415V AC Power Distribution Board</t>
  </si>
  <si>
    <t>30V DC Distribution Board</t>
  </si>
  <si>
    <t>Earthing G.I.Strip for (65x6)</t>
  </si>
  <si>
    <t>Rubber mat along length of pannel</t>
  </si>
  <si>
    <t>400 watt/250 V HPSV Lamp fitting complete for 33/11 KV PSS Yard lightining</t>
  </si>
  <si>
    <t>Battery Charging unit complete with battery 80 AH 30 V</t>
  </si>
  <si>
    <t xml:space="preserve">Rail piece 44.64Kg/m 6.92 meter long for power transformer </t>
  </si>
  <si>
    <t>Mtr</t>
  </si>
  <si>
    <t>2.5 mm2 copper 2 core control cable (Un-armoured)</t>
  </si>
  <si>
    <t>2.5 mm2 copper 12 core control cable (Un-armoured)</t>
  </si>
  <si>
    <t>2.5 mm2 copper 4 core control cable (Un-armoured)</t>
  </si>
  <si>
    <t>A.139</t>
  </si>
  <si>
    <t>Fully automatic Capacitor bank with automatic control panel, isolator, indoor type suitable Vacuum Circuit Breaker, mounting structures etc as required as per technical specifications, approved drawings, scope of the works of following capacities: (Banks in Muiltiple of 600 KVAR as per REC Specification)-3600 KVAR</t>
  </si>
  <si>
    <t>GI Wire No. 8</t>
  </si>
  <si>
    <t>M S Nuts &amp; Bolts of different size</t>
  </si>
  <si>
    <t>Aluminium Tape</t>
  </si>
  <si>
    <t>Al paint</t>
  </si>
  <si>
    <t>Ltrs.</t>
  </si>
  <si>
    <t>Red oxide paint</t>
  </si>
  <si>
    <t>11/.4 KV DSS With 25 KVA Distribution Transformer</t>
  </si>
  <si>
    <t>PSC Pole 400 KG W.L (9 mtr.)</t>
  </si>
  <si>
    <t>ACSR Racoon conductor (80 sq. mm)</t>
  </si>
  <si>
    <t>P G clamp for 80 sq.mm</t>
  </si>
  <si>
    <t xml:space="preserve">11 KV pin Insulator with Pin( Polymer) </t>
  </si>
  <si>
    <t>11 KV disc Insulator Polymer 45 KN with H/W Fitting</t>
  </si>
  <si>
    <t>11 KV Lightening Arrestor S/stn.Type 9KV 10KA Heavy Duty</t>
  </si>
  <si>
    <t>Clamp (50 x 6 mm Flat) for Top Channel [GALVANIZED]</t>
  </si>
  <si>
    <t>Clamp (50 x 6 mm) for AB switch base channel [GALVANIZED]</t>
  </si>
  <si>
    <t>Set of 2 Pair</t>
  </si>
  <si>
    <t>Stay clamp side/angle (50 x 10 mm)</t>
  </si>
  <si>
    <t>MS Channel (100x50x6 mm) for 11 KV AB switch [GALVANIZED]</t>
  </si>
  <si>
    <t>11KV Top Channel (100x50x6) 9.56 kg per meter [GALVANIZED]</t>
  </si>
  <si>
    <t>MS Angle for L T distribution bus (35 x 35 x6 mm) [GALVANIZED]</t>
  </si>
  <si>
    <t>Transformer Base Channel (100x50x6 mm) [GALVANIZED]</t>
  </si>
  <si>
    <t>A.180</t>
  </si>
  <si>
    <t>Clamp (50 x 6 mm) for Transformer base channel [GALVANIZED]</t>
  </si>
  <si>
    <t>Male female contact of 11 KV AB Switch 600 Amp</t>
  </si>
  <si>
    <t>Stay Set Complete for DSS with wire</t>
  </si>
  <si>
    <t>Stone Base plate for 11 KV,LT,D/S/S</t>
  </si>
  <si>
    <t>11/.4 KV DSS With 63 KVA Distribution Transformer</t>
  </si>
  <si>
    <t>11/0.433 KV Distribution Transformer 63 KVA, Three Star, Aluminium Winding, Stack type, CRGO Core</t>
  </si>
  <si>
    <t>A.37</t>
  </si>
  <si>
    <t>11/.4 KV DSS With 100 KVA Distribution Transformer</t>
  </si>
  <si>
    <t>11/0.433 KV Distribution Transformer 100 KVA, Three Star, Aluminium Winding, Stack type CRGO Core</t>
  </si>
  <si>
    <t>A.38</t>
  </si>
  <si>
    <t>11/.4 KV DSS With 200 KVA Distribution Transformer</t>
  </si>
  <si>
    <t>11/0.433 KV Distribution Transformer 200 KVA, three Star, Aluminium Winding, Stack type CRGO Core</t>
  </si>
  <si>
    <t>A.39</t>
  </si>
  <si>
    <t>11/0.433 KV Distribution Transformer 500 KVA, Aluminium wound</t>
  </si>
  <si>
    <t>1 KM LT Line of 34 sq mm (Weasel) conductor with 50 Mtr Average span</t>
  </si>
  <si>
    <t>PSC Pole 200 KG W.L (8 mtr.)</t>
  </si>
  <si>
    <t>ACSR weasel conductor (34 sq. mm)</t>
  </si>
  <si>
    <t>LT Pin insulator with Pin</t>
  </si>
  <si>
    <t>LT Shackle insulator with strip</t>
  </si>
  <si>
    <t>LT Phase Seperator</t>
  </si>
  <si>
    <t>A.41</t>
  </si>
  <si>
    <t>LT Stay Insulator</t>
  </si>
  <si>
    <t>GI Stay Wire No. 7/10, 7/12, 7/14, 7/16</t>
  </si>
  <si>
    <t>1 KM LT Line of 55 sq mm (Rabbit) conductor with 50 Mtr Average span</t>
  </si>
  <si>
    <t>ACSR Rabbit conductor (55 sq. mm)</t>
  </si>
  <si>
    <t>* Additional 10% escalation above the 27.98% shall be applicable for deep interior LWE affected blocks/areas on the approval of respective SP and DC office.</t>
  </si>
  <si>
    <t>Remarks/ Comments</t>
  </si>
  <si>
    <t>Per 20 cft</t>
  </si>
  <si>
    <t>Per 40 cft</t>
  </si>
  <si>
    <t>Per 60 cft</t>
  </si>
  <si>
    <t>Per 80 cft</t>
  </si>
  <si>
    <t>Concreting and top muffing of support with 1:4:8 mixture (including cost of approved quality of stone chips 20mm to 6mm size graded, clean coarse sand of F.M 2.5 to 3 grade and cement concrete along with cost of screening, shuttering, mixing, placing the mixuture in position, vibrating, striking, curing, taxes and royalty all complete)</t>
  </si>
  <si>
    <t>Guarding of power line as per approved practices</t>
  </si>
  <si>
    <t>a) Fixing and fitting of Pin Insulators with Pin on Single Pole</t>
  </si>
  <si>
    <t>Ref: Building Construction Department (Govt. of Jharkhand) w.e.f. 1st April 2015
Calculation: (INR 4428.8 per mtr3) x 0.0283 (conversion factor for mtr3 to cft) x [cft]</t>
  </si>
  <si>
    <r>
      <t>Ref:</t>
    </r>
    <r>
      <rPr>
        <u val="singleAccounting"/>
        <sz val="10"/>
        <rFont val="Calibri"/>
        <family val="2"/>
        <scheme val="minor"/>
      </rPr>
      <t xml:space="preserve"> </t>
    </r>
    <r>
      <rPr>
        <sz val="10"/>
        <rFont val="Calibri"/>
        <family val="2"/>
        <scheme val="minor"/>
      </rPr>
      <t>Building Construction Department (Govt. of Jharkhand) w.e.f. 1st April 2015
Calculation: (INR 4428.8 per mtr3) x 0.0283 (conversion factor for mtr3 to cft) x [cft]</t>
    </r>
  </si>
  <si>
    <t>8 semi skilled manpower &amp; 2 skilled manpower per set for 2 days</t>
  </si>
  <si>
    <t>1 skilled manpower &amp; 2 highly skilled manpower per RMT for 3 days</t>
  </si>
  <si>
    <t>Laying of control cable in trenches with all connections</t>
  </si>
  <si>
    <t>Fixing and fitting of Horn Gap fuse set and fitting of HT pin insulator of Horn</t>
  </si>
  <si>
    <t>Erection and commissioning of 11KV/110V CTPT combined metering units of different capacity for feeder metering including installation of HT trivector meter with meter box and other allied works complete</t>
  </si>
  <si>
    <t>c) Concreting and top muffing of support with 1:4:8 mixture (including cost of approved quality of stone chips 20mm to 6mm size graded, clean coarse sand of F.M 2.5 to 3 grade and cement concrete along with cost of screening, shuttering, mixing, placing the mixuture in position, vibrating, striking, curing, taxes and royalty all complete)</t>
  </si>
  <si>
    <t>Per 5 cft</t>
  </si>
  <si>
    <t>Pole pit excavation (for 200 KG W.L 8 mtr. PSC pole)</t>
  </si>
  <si>
    <t>Pole pit excavation (for Tubular pole 11 mtr)</t>
  </si>
  <si>
    <t>Erection of Pole  (Tubular Pole 11mtr)</t>
  </si>
  <si>
    <t>Earthing including fixing of GI pipe and wire as per direction of the Engineer O/C (GI Pipe and wire to be supplied by the Nigam)</t>
  </si>
  <si>
    <t>LT XLPE AB Cable 3Cx95+70mm2</t>
  </si>
  <si>
    <t>11/.4 KV DSS With 500 KVA Distribution Transformer</t>
  </si>
  <si>
    <t>1 KM LT Overhead Line on 8 mtr PSC Pole of 34 sq mm (Weasel) conductor with 50 Mtr Average span</t>
  </si>
  <si>
    <t>1 KM LT Overhead Line on 8 mtr PSC Pole of 55 sq mm (Rabbit) conductor with 50 Mtr Average span</t>
  </si>
  <si>
    <t>1 KM LT Overhead Line on 8 mtr PSC Pole  LT XLPE AB Cable 3Cx95+70mm2</t>
  </si>
  <si>
    <t>1 KM LT Overhead Line on 8 mtr PSC PoleLT XLPE AB Cable 3x50+1x25+1x35 (5 Wire)</t>
  </si>
  <si>
    <r>
      <rPr>
        <b/>
        <sz val="14"/>
        <color theme="1"/>
        <rFont val="Calibri"/>
        <family val="2"/>
        <scheme val="minor"/>
      </rPr>
      <t>JBVNL COST DATA BOOK 2016-17</t>
    </r>
    <r>
      <rPr>
        <b/>
        <sz val="11"/>
        <color theme="1"/>
        <rFont val="Calibri"/>
        <family val="2"/>
        <scheme val="minor"/>
      </rPr>
      <t xml:space="preserve">
</t>
    </r>
    <r>
      <rPr>
        <b/>
        <sz val="12"/>
        <color theme="1"/>
        <rFont val="Calibri"/>
        <family val="2"/>
        <scheme val="minor"/>
      </rPr>
      <t>Unit Rate Costing Summary Sheet</t>
    </r>
  </si>
  <si>
    <t>A.265</t>
  </si>
  <si>
    <t>Concreting of stay with 1:4:8 mixture (including cost of approved quality of stone chips 20mm to 6mm size graded, clean coarse sand of F.M 2.5 to 3 grade and cement concrete along with cost of screening, shuttering, mixing, placing the mixuture in position, vibrating, striking, curing, taxes and royalty all complete)</t>
  </si>
  <si>
    <t>b) Fitting of 70 KN disc insulator with hardware fitting including pin insulator where necessray (for piloting, etc)</t>
  </si>
  <si>
    <t>Gang of 10 manpower 5 kms per day</t>
  </si>
  <si>
    <t>Erection and commissioning of 33KV/110V CTPT combined metering units of different capacity for feeder metering including installation of HT trivector meter with meter box and other allied works complete</t>
  </si>
  <si>
    <t>Per CTPT</t>
  </si>
  <si>
    <t>Fixing of lightening arrestor (one set consisting of 3LA one in each circuit) with connection to line and earth.</t>
  </si>
  <si>
    <t>Fixing of 33KV PT on the structure and its connections</t>
  </si>
  <si>
    <t>a) For 33KV side (One set shall consist of three strain sets. Each strain set consisting of 3 nos of  disc insulator)</t>
  </si>
  <si>
    <t xml:space="preserve">b) For 11KV side (One set shall consist of three strain sets of single disc insulator) </t>
  </si>
  <si>
    <t>Stringing and sagging of all the three phase of swing bus with jumpering for 33KV &amp; 11KV with</t>
  </si>
  <si>
    <t>Placing of power transformer on the plinth with jumpering connections both on 33KV and 11KV</t>
  </si>
  <si>
    <t>Per RMT</t>
  </si>
  <si>
    <t>Connecting G.I. flat for different structures/ equipment in the PSS</t>
  </si>
  <si>
    <t>Jumpering through suitable lugs of clamps (including supply of lugs) from :-
a) Line to AB switch
b) AB Switch to HG Fuse Set.
c) HG Fuse Set to HT Bushing of the transformer complete works for one sub-station.
d) Making of LT busbar arrangement including fixing and fitting of LT insulators with fuse arragements(one side/both side) with jumpering to LT line complete</t>
  </si>
  <si>
    <t>Painting of all structures with 2 coats of Red oxide paint and 2 coats of Al. paint (paint to be supplied by Nigam)</t>
  </si>
  <si>
    <t>Lump sum</t>
  </si>
  <si>
    <t>3 semi skilled manpower for 4 days</t>
  </si>
  <si>
    <t>11 KV XLPE HT AB Cable 3Cx95mm2+80mm2 bare messenger</t>
  </si>
  <si>
    <t>11 KV XLPE HT AB Cable 3Cx50mm2+70mm2 bare messenger</t>
  </si>
  <si>
    <t>Per Route KM</t>
  </si>
  <si>
    <t>A.263</t>
  </si>
  <si>
    <t>A.276</t>
  </si>
  <si>
    <t>A.157</t>
  </si>
  <si>
    <t>Back Clamp (50x6 mm)Jointing/ Packing piece for 60kg Rail Pole [GALVANIZED]</t>
  </si>
  <si>
    <t>33 KV Pin Insulator(Polymer) with Pin  Including support for jumper</t>
  </si>
  <si>
    <t>33 KV Disc. Insulator(Polymer) 70 KN with H/W</t>
  </si>
  <si>
    <t>33 KV 3 pin type AB switch 600 Amp</t>
  </si>
  <si>
    <t>A.345</t>
  </si>
  <si>
    <t>A.324</t>
  </si>
  <si>
    <t>33 KV Back Clamp for line DP Channel [GALVANIZED]</t>
  </si>
  <si>
    <t>A.317</t>
  </si>
  <si>
    <t>A.271</t>
  </si>
  <si>
    <t>A.351</t>
  </si>
  <si>
    <t>Earth clamp for earthwire (50 x 6 mm) [GALVANIZED]</t>
  </si>
  <si>
    <t>A.264</t>
  </si>
  <si>
    <t>11kv Pole Top Bracket 50x8 mm flat [GALVANIZED]</t>
  </si>
  <si>
    <t>A.277</t>
  </si>
  <si>
    <t>A.285</t>
  </si>
  <si>
    <t>11 KV Pin Insulator (Polymer)  with Pin  Including support for jumper</t>
  </si>
  <si>
    <t>11 KV Disc. Insulator (Polymer) 45 KN with H/W</t>
  </si>
  <si>
    <t>A.194</t>
  </si>
  <si>
    <t>Stay set complete (1800x16 mm) with staywire 7/10 SWG 8 kgs &amp; guy Insulator)</t>
  </si>
  <si>
    <t>A.346</t>
  </si>
  <si>
    <t>11 KV Angle stay clamp (50 x 10 mm) [GALVANIZED]</t>
  </si>
  <si>
    <t>A.326</t>
  </si>
  <si>
    <t>11 KV Back Clamp for line DP Channel [GALVANIZED]</t>
  </si>
  <si>
    <t>A.318</t>
  </si>
  <si>
    <t>A.272</t>
  </si>
  <si>
    <t>A.199</t>
  </si>
  <si>
    <t>11 KV Earthing (Chemical) with earthing pipe 20 mm 1.2 mtrs. Long</t>
  </si>
  <si>
    <t>Earth clamp for earthwire (50 x 6 mm)[GALVANIZED]</t>
  </si>
  <si>
    <t>11 KV Pin Insulator (Polymer) with Pin  Including support for jumper</t>
  </si>
  <si>
    <t>11 KV Disc. Insulator(Polymer)  45 KN with H/W</t>
  </si>
  <si>
    <t>P G clamp for 80sq mm conductor</t>
  </si>
  <si>
    <t>A.201</t>
  </si>
  <si>
    <t>33 KV Pin Insulator with Pin (Polymer)</t>
  </si>
  <si>
    <t>33 kV Disc Insulator (Polymer Type) 70 KN with H/W fitting</t>
  </si>
  <si>
    <t>A.202</t>
  </si>
  <si>
    <t>Structure for 33kV Lightening Arrestor [Galvanized]</t>
  </si>
  <si>
    <t>A.203</t>
  </si>
  <si>
    <t>Structure for 33 &amp; 11 KV Isolator [Galvanized]</t>
  </si>
  <si>
    <t>A.204</t>
  </si>
  <si>
    <t>Structure for 33 KV PT  [Galvanized]</t>
  </si>
  <si>
    <t>A.206</t>
  </si>
  <si>
    <t>A.208</t>
  </si>
  <si>
    <t>Gantry Column, Girder structures for 33/11 KV PSS for single Transformer [Galvanized]</t>
  </si>
  <si>
    <t>A.209</t>
  </si>
  <si>
    <t>'A' structures for top mounted AB switch on 11 KV &amp; 33 KV Bus [Galvanized]</t>
  </si>
  <si>
    <t>A.210</t>
  </si>
  <si>
    <t>'A' Structures for 11 KV Take off with top mounted AB Switch and provision of Lightening Arrester [Galvanized]</t>
  </si>
  <si>
    <t>Earthing complete (Conventional) for Power Transformer</t>
  </si>
  <si>
    <t>33 KV/110V P.T Class 1.0 with 100VA Burden</t>
  </si>
  <si>
    <t>11 KV 3 pin type AB switch 600 Amp</t>
  </si>
  <si>
    <t>11/0.433 KV Distribution Transformer 25 KVA, 3 Star, Aluminium Winding, Stack type CRGO Core fitted</t>
  </si>
  <si>
    <t>A.300</t>
  </si>
  <si>
    <t>A.308</t>
  </si>
  <si>
    <t>A.270</t>
  </si>
  <si>
    <t>A.268</t>
  </si>
  <si>
    <t>A.352</t>
  </si>
  <si>
    <t>A.273</t>
  </si>
  <si>
    <t>A.314</t>
  </si>
  <si>
    <t>MS Channel (75x40x6 mm)for supporting H.G fuse &amp; L.A [GALVANIZED]</t>
  </si>
  <si>
    <t>A.275</t>
  </si>
  <si>
    <t>Transformer belting (50x50x6 mm) &amp; belting support (40x40x6 mm)[GALVANIZED]</t>
  </si>
  <si>
    <t>A.315</t>
  </si>
  <si>
    <t>Clamp (50 x 6 mm) for Transformer belting [ GALVANIZED]</t>
  </si>
  <si>
    <t>A.316</t>
  </si>
  <si>
    <t>Clamp (50 x 6 mm) for LT bus &amp; H.G fuse set [ GALVANIZED]</t>
  </si>
  <si>
    <t>A.365</t>
  </si>
  <si>
    <t>Stone Base plate for 11 DSS</t>
  </si>
  <si>
    <t>A.350</t>
  </si>
  <si>
    <t>MS Flat (75x40x6 mm)[ GALVANIZED]</t>
  </si>
  <si>
    <t>LTCT Electronic Meter (100/5) 3 Phase 4 Wire  with meter box, Class 1.0 accuracy</t>
  </si>
  <si>
    <t>LT Distribution box suitable for 63 KVA transformer (200 A, isolator &amp; 6 SP MCCB of 100 A)</t>
  </si>
  <si>
    <t>LT Distribution box suitable for 100 KVA transformer (200 A, isolator &amp; 6 SP MCCB of 200 A)</t>
  </si>
  <si>
    <t>LTCT Electronic Meter (150/5) 3 Phase 4 Wire  with meter box, Class 1.0 accuracy</t>
  </si>
  <si>
    <t>LT Distribution box suitable for 200 KVA transformer (400 A, isolator &amp; 6 SP MCCB of 120 A)</t>
  </si>
  <si>
    <t>LTCT Electronic Meter (200/5) 3 Phase 4 Wire with meter box, Class 1.0 accuracy</t>
  </si>
  <si>
    <t>A.230</t>
  </si>
  <si>
    <t>LT Distribution box suitable for 500 KVA transformer (800 A, isolator &amp; 12 SP MCCB of 160 A)</t>
  </si>
  <si>
    <t>A.353</t>
  </si>
  <si>
    <t>LT Angle Bracket (35x35x6 mm)[GALVANIZED]</t>
  </si>
  <si>
    <t>A.357</t>
  </si>
  <si>
    <t>"U" clamp (40 x 6 mm)[GALVANIZED]</t>
  </si>
  <si>
    <t>A.356</t>
  </si>
  <si>
    <t>LT Back clamp (50 x 6 mm) for LT angle[GALVANIZED]</t>
  </si>
  <si>
    <t>MS Angle for LT Distribution bus (35x35x6 mm) 1 set for 2 pair[GALVANIZED]</t>
  </si>
  <si>
    <t>A.267</t>
  </si>
  <si>
    <t>MS Angle (65x65x6 mm) for guarding of 33 KV, 11 KV, L.T line[GALVANIZED]</t>
  </si>
  <si>
    <t>LT Stay set complete (1700x16 mm) with stay wire 7/12 SWG</t>
  </si>
  <si>
    <t>A.347</t>
  </si>
  <si>
    <t>Angle/side  Stay Clamp ( 50x6 mm) for 8 mtr 200kg PSC Pole[GALVANIZED]</t>
  </si>
  <si>
    <t xml:space="preserve">Danger Board LT </t>
  </si>
  <si>
    <t>Stone Base plate for  LT</t>
  </si>
  <si>
    <t>A.183</t>
  </si>
  <si>
    <t>Excavation for LT cable 600 mm deep x 500 x1000 mm long</t>
  </si>
  <si>
    <t>Sand Filling</t>
  </si>
  <si>
    <t>mtrs3</t>
  </si>
  <si>
    <t>Brick Flat Soling</t>
  </si>
  <si>
    <t>mtrs2</t>
  </si>
  <si>
    <t>Excavation for 33KV/11KV cable 1200 mm deep x 500x1000 mm long</t>
  </si>
  <si>
    <t>Ref: Building Construction Department (Govt. of Jharkhand) w.e.f. 1st April 2015</t>
  </si>
  <si>
    <t>Refilling of cable trench for 33KV / 11KV</t>
  </si>
  <si>
    <t>Fitting of Pre insulated mid span joint suitable for AB cable upto 50 sq. mm.</t>
  </si>
  <si>
    <t>Fitting of Pre insulated mid span joint suitable for AB cable above 50 sq. mm.</t>
  </si>
  <si>
    <t>2 semi skilled manpower 10 joints per day</t>
  </si>
  <si>
    <t>2 semi skilled manpower 8 joints per day</t>
  </si>
  <si>
    <t>33 KV HT XLPE Cable 3 Core 300mm2 (Armoured)</t>
  </si>
  <si>
    <t>33 KV HT XLPE Cable 3 Core 185mm2 (Armoured)</t>
  </si>
  <si>
    <t>Total (in INR)
Normal Soil</t>
  </si>
  <si>
    <t>Total (in INR)
Rocky Soil</t>
  </si>
  <si>
    <t>33 KV Line Labour Cost Analysis</t>
  </si>
  <si>
    <t>11 KV Line Labour Cost Analysis</t>
  </si>
  <si>
    <t>LT Line Labour Cost Analysis</t>
  </si>
  <si>
    <t>33/11 KV Power Substation Labour Cost Analysis</t>
  </si>
  <si>
    <t>11/.4 KV DSS With 315 KVA Distribution Transformer</t>
  </si>
  <si>
    <t>11/0.4 KV Distribution Substation Labour Cost Analysis</t>
  </si>
  <si>
    <t>AB Cable overhead line Labour Cost Analysis</t>
  </si>
  <si>
    <t>Under Ground Cable Labour Cost Analysis</t>
  </si>
  <si>
    <t>Y</t>
  </si>
  <si>
    <t>U</t>
  </si>
  <si>
    <t>V</t>
  </si>
  <si>
    <t>W</t>
  </si>
  <si>
    <t>X</t>
  </si>
  <si>
    <t>Z</t>
  </si>
  <si>
    <t>in Normal Soil</t>
  </si>
  <si>
    <t>In Rocky Soil</t>
  </si>
  <si>
    <t>in INR</t>
  </si>
  <si>
    <t>in INR Lacs</t>
  </si>
  <si>
    <t>1 KM 33KV Overhead Line on 13 mtr Rail Pole with porcelene insulator &amp; 232 sq mm (Panther) Conductor with 70 Mtr Average Span with Single Cut Point DP (Center, Starting &amp; End)</t>
  </si>
  <si>
    <t>1 KM 33KV Overhead Line on 13 mtr Rail Pole with porcelene insulator &amp; 150 sq mm (Wolf) Conductor with 70 Mtr Average Span with Single Cut Point DP (Center &amp; Starting &amp; End)</t>
  </si>
  <si>
    <t>1 KM 33KV Overhead Line on 13 mtr Rail Pole with porcelene insulator &amp; 100 sq mm (Dog) Conductor With 70 Mtr Average Span with Single Cut Point DP (Center, Starting &amp; End)</t>
  </si>
  <si>
    <t>1 KM 11KV Overhead Line on 9 mtr PSC Pole with Porcelene insulators &amp; 100 sq mm (Dog) Conductor With 60 Mtr Average Span with Single Cut Point DP (Center, Starting &amp; End)</t>
  </si>
  <si>
    <t>1 KM 11KV Overhead Line on 9 mtr PSC Pole with Porcelene insulators &amp; 80 sq mm (Racoon) Conductor with 60 Mtr  Average Span with Single Cut Point DP (Center, Starting &amp; End)</t>
  </si>
  <si>
    <t>1 KM 11KV Overhead Line on 9 mtr PSC Pole with Porcelene insulators &amp; 34 sq mm (weasel) Conductor with 60 Mtr  Average Span with Single  Cut Point DP (Center, Starting &amp; End)</t>
  </si>
  <si>
    <t xml:space="preserve">Laying of Half Round pipe over cable each 2 meter long </t>
  </si>
  <si>
    <t>1 KM 33KV Overhead Line on 13 mtr Rail Pole with porcelene insulator &amp; Panther Conductor with 70 Mtr Average Span with 1 Cut Point DP (Center, Starting &amp; End)</t>
  </si>
  <si>
    <t>1 KM 33KV Overhead Line on 13 mtr Rail Pole with porcelene insulator &amp; Wolf Conductor with 70 Mtr Average Span with 1 Cut Point DP (Center &amp; Starting &amp; End)</t>
  </si>
  <si>
    <t>1 KM 33KV Overhead Line on 13 mtr Rail Pole with porcelene insulator &amp; Dog Conductor With 70 Mtr Average Span with 1 Cut Point DP (Center, Starting &amp; End)</t>
  </si>
  <si>
    <t>1 KM 11KV Overhead Line on 9 mtr PSC Pole with Porcelene insulators &amp; 100 sq mm (Dog) Conductor With 60 Mtr Average Span with 1 Cut Point DP (Center, Starting &amp; End)</t>
  </si>
  <si>
    <t>1 KM 11KV Overhead Line on 9 mtr PSC Pole with Porcelene insulators &amp; 80 sq mm (Racoon) Conductor with 60 Mtr  Average Span with 1 Cut Point DP (Center, Starting &amp; End)</t>
  </si>
  <si>
    <t>1 KM 11KV Overhead Line on 9 mtr PSC Pole with Porcelene insulators &amp; 34 sq mm (weasel) Conductor with 60 Mtr  Average Span with 1 Cut Point DP (Center, Starting &amp; End)</t>
  </si>
  <si>
    <t>33 KV Lightening Arrestor S/stn.30KV 10KA ( Class II) Heavy Duty</t>
  </si>
  <si>
    <t>33 KV isolator 400 Amp. With EB</t>
  </si>
  <si>
    <t>33 KV isolator 400 Amp. Without EB</t>
  </si>
  <si>
    <t>Structure for Post Insulator for 33KV [Galvanized]</t>
  </si>
  <si>
    <t>A.66</t>
  </si>
  <si>
    <t>11 KV XLPE Cable 3 Core 300mm2 (Armoured)</t>
  </si>
  <si>
    <t>A.65</t>
  </si>
  <si>
    <t>11 KV XLPE Cable 3 Core 185mm2 (Armoured)</t>
  </si>
  <si>
    <t>A.412</t>
  </si>
  <si>
    <t>11 KV  3-core heat shrinkable Indoor Cable Jointing kit 300 mm2</t>
  </si>
  <si>
    <t>A.418</t>
  </si>
  <si>
    <t>11 KV  3-core heat shrinkableOutdoor Cable Jointing kit 300 mm2</t>
  </si>
  <si>
    <t>A.414</t>
  </si>
  <si>
    <t>11 KV 3-core heat shrinkable Indoor Cable Jointing kit 185 mm2</t>
  </si>
  <si>
    <t>A.420</t>
  </si>
  <si>
    <t>11 KV  3-core heat shrinkableOutdoor Cable Jointing kit  185 mm2</t>
  </si>
  <si>
    <t>11 KV XLPE Cable 3 Core 240 mm2 (Armoured)</t>
  </si>
  <si>
    <t>A.413</t>
  </si>
  <si>
    <t>11 KV  3-core heat shrinkable Indoor Cable Jointing kit 240 mm2</t>
  </si>
  <si>
    <t>A.419</t>
  </si>
  <si>
    <t>11 KV  3-core heat shrinkableOutdoor Cable Jointing kit 240 mm2</t>
  </si>
  <si>
    <t>A.421</t>
  </si>
  <si>
    <t>11 KV  3-core heat shrinkableOutdoor Cable Jointing kit 95-50 mm2</t>
  </si>
  <si>
    <t>A.415</t>
  </si>
  <si>
    <t>11 KV 3-core heat shrinkable Indoor Cable Jointing kit 95-50 mm2</t>
  </si>
  <si>
    <t>A.64</t>
  </si>
  <si>
    <t>11 KV XLPE Cable 3 Core 95mm2 (Armoured)</t>
  </si>
  <si>
    <t>MS Channel (75x40x6 mm)for supporting  L.A [GALVANIZED]</t>
  </si>
  <si>
    <t>11 KV H.G. fuse set</t>
  </si>
  <si>
    <t>MS Channel (75x40x6 mm)for supporting H.G fuse [GALVANIZED]</t>
  </si>
  <si>
    <t>Clamp (50 x 6 mm) for H.G fuse set [ GALVANIZED]</t>
  </si>
  <si>
    <t>Stone Base plate for 11 KV</t>
  </si>
  <si>
    <t>Sr No.</t>
  </si>
  <si>
    <t>A.57</t>
  </si>
  <si>
    <t>KM</t>
  </si>
  <si>
    <t>A.392</t>
  </si>
  <si>
    <t>33 KV 3-core XLPE UG cable Heat shrinkable straight through Jointing kit suitable for 300 mm2</t>
  </si>
  <si>
    <t>A.401</t>
  </si>
  <si>
    <t>33 KV 3-core heat shrikable Indoor Cable termination  kit for 300 mm2</t>
  </si>
  <si>
    <t>A.396</t>
  </si>
  <si>
    <t>33 KV 3-core heat shrinkable Out door type Cable termination kit for 300 mm2</t>
  </si>
  <si>
    <t>A.358</t>
  </si>
  <si>
    <t>GI Pipe 6" light dutyHDPE Hume pipe  (C-Class)</t>
  </si>
  <si>
    <t xml:space="preserve">Route &amp; Joint Indicating </t>
  </si>
  <si>
    <t>A.56</t>
  </si>
  <si>
    <t>A.393</t>
  </si>
  <si>
    <t>33 KV 3-core XLPE UG cable Heat shrinkable straight through Jointing kit suitable for 185 mm2</t>
  </si>
  <si>
    <t>A.402</t>
  </si>
  <si>
    <t>33 KV 3-core heat shrikable Indoor Cable termination  kit for 185 mm2</t>
  </si>
  <si>
    <t>A.397</t>
  </si>
  <si>
    <t>33 KV 3-core heat shrinkable Out door type Cable termination kit for 185 mm2</t>
  </si>
  <si>
    <t>A.36</t>
  </si>
  <si>
    <t>GI Pipe 4" Heavy (C -Class)</t>
  </si>
  <si>
    <t>A.406</t>
  </si>
  <si>
    <t>11 KV  3-core heat shrinkableStraight through Cable Jointing kit 300 mm2</t>
  </si>
  <si>
    <t>A.408</t>
  </si>
  <si>
    <t>11 KV  3-core heat shrinkable Straight through Cable Jointing kit 185 mm2</t>
  </si>
  <si>
    <t>11 KV  3-core heat shrinkableOutdoor Cable Jointing kit 185 mm2</t>
  </si>
  <si>
    <t>A.251</t>
  </si>
  <si>
    <t xml:space="preserve"> Suspension Clamp Suitable for 35 -95 Sqmm Bare Messenger (Including 1 No. Suspension Clamp with Bracket + 1.5 Mtr SS Strap + 2 Nos. SS buckle)  </t>
  </si>
  <si>
    <t xml:space="preserve"> Dead End Clamp Suitable for 70 -95 Sqmm Insulated Messenger (Including 1 No. Dead End Bracket + 1 No. Dead End + 1.5 Mtr SS Strap + 2 Nos. SS buckle)  </t>
  </si>
  <si>
    <t>A.42</t>
  </si>
  <si>
    <t>LT AB Cable accessory, 1.1Mtr. Stainless steel strap IF207(20x0.7)</t>
  </si>
  <si>
    <t>A.247</t>
  </si>
  <si>
    <t>Buckle for strap</t>
  </si>
  <si>
    <t>A.240</t>
  </si>
  <si>
    <t>Pre insulated mid span joint suitable 95  mm2 Phases</t>
  </si>
  <si>
    <t>A.245</t>
  </si>
  <si>
    <t>Insulation piercing connector branching suitable for T Joints</t>
  </si>
  <si>
    <t>A.262</t>
  </si>
  <si>
    <t>Service main anchor clamp for proper support of service cable(4mm2 and 10 mm2)</t>
  </si>
  <si>
    <t>AB Cable accessory, 1.1Mtr. Stainless steel strap IF207(20x0.7)</t>
  </si>
  <si>
    <t>A.239</t>
  </si>
  <si>
    <t>Pre insulated mid span joint suitable 50 mm2 phases</t>
  </si>
  <si>
    <t>A.104</t>
  </si>
  <si>
    <t>Piercing Connector for LT AB Cable</t>
  </si>
  <si>
    <t>A.246</t>
  </si>
  <si>
    <t>Satellite Connector</t>
  </si>
  <si>
    <t>A.244</t>
  </si>
  <si>
    <t>Insulation Piercing Connector for DB charging</t>
  </si>
  <si>
    <t>A.48</t>
  </si>
  <si>
    <t>Spring loaded distribution Bus Bar insulated Box for fixing on pole suitable for AB XLPE Cable and three phase connection 1 incoming and out going 3 phase connection as per field requirement</t>
  </si>
  <si>
    <t>LT XLPE AB Cable 3x50+1x25+1x35 5 Wire</t>
  </si>
  <si>
    <t>Pre insulated mid span joint suitable 70  mm2 Phases</t>
  </si>
  <si>
    <t>GI Pipe 6" light duty HDPE Hume pipe  (C-Class)</t>
  </si>
  <si>
    <t>11/0.433 KV Distribution Transformer 315 KVA, three Star, Copper Winding, Stack type CRGO Core fitted ONAN</t>
  </si>
  <si>
    <t>11/.433 KV DSS With 25 KVA Distribution Transformer</t>
  </si>
  <si>
    <t>11/.433 KV DSS With 63 KVA Distribution Transformer</t>
  </si>
  <si>
    <t>11/.433 KV DSS With 100 KVA Distribution Transformer</t>
  </si>
  <si>
    <t>11/.433 KV DSS With 200 KVA Distribution Transformer</t>
  </si>
  <si>
    <t>11/.433 KV DSS With 315 KVA Distribution Transformer</t>
  </si>
  <si>
    <t>11/.433 KV DSS With 500 KVA Distribution Transformer</t>
  </si>
  <si>
    <t>1 KM LT Overhead Line on 8 mtr PSC Pole XLPE AB Cable 3Cx95+70mm2</t>
  </si>
  <si>
    <t>1 KM LT Overhead Line on 8 mtr PSC Pole XLPE AB Cable 3x50+1x25+1x35 (5 Wire)</t>
  </si>
  <si>
    <t>a) 110/140 mm/4" HDPE</t>
  </si>
  <si>
    <t>a) 160 mm/6" HDPE</t>
  </si>
  <si>
    <t>a) 200 mm/8" HDPE</t>
  </si>
  <si>
    <t>LT XLPE Cable 3.5 Core 25mm2 (Armoured)</t>
  </si>
  <si>
    <t>LT Static Trivector Energy Meter, 3 Phase 4 Wire, direct connected, (10-60) Amp. with Meter Box, Class 1.0 accuracy</t>
  </si>
  <si>
    <t>1 no. 3 phase Service Connection</t>
  </si>
  <si>
    <t>1 no. 1 phase Service Connection (for APL Consumers)</t>
  </si>
  <si>
    <t>Back clamp ( 50x6 mm) for 60kg Rail Pole[GALVANIZED]</t>
  </si>
  <si>
    <t>A.283</t>
  </si>
  <si>
    <t>Support Clamp for V Cross Arm for 60kg Rail Pole[GALVANIZED]</t>
  </si>
  <si>
    <t>Per Stay (7.5 cft)</t>
  </si>
  <si>
    <t>Fixing &amp; fitting of V-cross arm</t>
  </si>
  <si>
    <t>Fixing &amp; fitting of line DP Channel</t>
  </si>
  <si>
    <t>Fixing &amp; fitting of cross bracing in DP</t>
  </si>
  <si>
    <t>1.5 times of normal rate if span is between 400 feet and 500 feet</t>
  </si>
  <si>
    <t>2 times of normal rate if span is more than 500 feet</t>
  </si>
  <si>
    <t>Fixing and fitting of danger board on pole near Road corner wherever necessary as per direction of E/I</t>
  </si>
  <si>
    <t>Per Running Meter</t>
  </si>
  <si>
    <t>Arc Welding of Flat / angle / channel etc</t>
  </si>
  <si>
    <t>Tree branches trimming (for number of trees upto 10 nos. in one km)</t>
  </si>
  <si>
    <t>Tree branches trimming (for number of trees more than 10 nos. in one km)</t>
  </si>
  <si>
    <t xml:space="preserve">Manual Transportation / Km unskilled 20 Nos. @ (Electrician Grade-I) 2 Nos. </t>
  </si>
  <si>
    <t>Erection of 33KV Breaker with structure, CT, PT and control &amp; relay pannel</t>
  </si>
  <si>
    <t>Erection of 11KV Breaker with structure, CT, PTand control &amp; relay pannel</t>
  </si>
  <si>
    <t>8 semi skilled manpower, 2 skilled manpower and 1 highly skilled per set for 2 days</t>
  </si>
  <si>
    <t>Fixing of 33KV CT on the structure and its connections</t>
  </si>
  <si>
    <t>4115.54 (excluding CT)</t>
  </si>
  <si>
    <t>Connecting Neutal / body of Power Transformer with earthing</t>
  </si>
  <si>
    <t>Earthing (Deep Bore of 30 meter) including  115/125 mm dia drill tubewell with supply of G.I. pipe 2" dia having nine holes per meter of G.I.Pipe at a gap of 11cm per holes all along around the pipe (including supply and filling charcoal, salt with intermittent layer or bentonite powder)</t>
  </si>
  <si>
    <t>Preparation of cable trench of 0.75 mtr. width and depth upto 1 mtr. With all associated works as per REC design (including cost of required material for civil works) and further depositing excavated material on bank upto a lead of 50 mtrs.</t>
  </si>
  <si>
    <t>F = E*(1+E)</t>
  </si>
  <si>
    <t>G = F*1.5</t>
  </si>
  <si>
    <t>Per Structure</t>
  </si>
  <si>
    <t>Pole pit excavation (for Tubular pole 13 mtr)</t>
  </si>
  <si>
    <t>Erection of Pole  (Tubular Pole 13mtr)</t>
  </si>
  <si>
    <t>Pole pit excavation (RS Joist Pole 9.3 meter (175x85mm) 19.6 kgs per mtr)</t>
  </si>
  <si>
    <t>Pole pit excavation (RS Joist Pole 9 meter (116x100mm) 23 kgs per mtr)</t>
  </si>
  <si>
    <t>Pole pit excavation (H Beam Pole 11 meters (152x152mm) 37.1 kgs per mtr)</t>
  </si>
  <si>
    <t>Propotionate w.r.t. rate of pole pit excavation for 13 meters 60 kg rail pole</t>
  </si>
  <si>
    <t>From 33KV line labour analysis sheet</t>
  </si>
  <si>
    <t>Ref: MSEDCL, Maharashtra</t>
  </si>
  <si>
    <t>A.198</t>
  </si>
  <si>
    <t>Earthing (Chemical) with GI earthing pipe 40 mm 3.1 mtrs. Long (Bentonite as intermittent layers)</t>
  </si>
  <si>
    <t>Earthing (Chemical) with GI earthing pipe 20 mm 2.5 mtrs. Long</t>
  </si>
  <si>
    <t>A.437</t>
  </si>
  <si>
    <t>33/11 KV Power Transformer 05 MVA Copper Wound, CRGO Core (on load tap changer)</t>
  </si>
  <si>
    <t>A.436</t>
  </si>
  <si>
    <t>33/11 KV Power Transformer 10 MVA Copper Wound, CRGO Core (on load tap changer)</t>
  </si>
  <si>
    <t>A.71</t>
  </si>
  <si>
    <t>A.69</t>
  </si>
  <si>
    <t>A.266</t>
  </si>
  <si>
    <t>11 KV VCB, 12KV, Outdoor type, 630 A, 25 KA for 3 sec. rupturing capacity
CT 600-400-200-100/1-1A, 2 Core, Accuracy 1.0 and 5 P10, VA Burden 15 VA &amp; 15 VA
PT 11KV / 110V, Accuracy class 1, VA Burden 100VA, Single Core</t>
  </si>
  <si>
    <t>A.257</t>
  </si>
  <si>
    <t>A.255</t>
  </si>
  <si>
    <t xml:space="preserve"> Dead End Clamp Suitable for 25 -50 Sqmm Bare Messenger (Including 1 No. Dead End Bracket + 1 No. Dead End + 1.5 Mtr SS Strap + 2 Nos. SS buckle)  </t>
  </si>
  <si>
    <t>A.249</t>
  </si>
  <si>
    <t xml:space="preserve"> Suspension Clamp Suitable for 25 -70 Sqmm BareMessenger (Including 1 No. Suspension Clamp with Bracket + 1.5 Mtr SS Strap + 2 Nos. SS buckle)  </t>
  </si>
  <si>
    <t xml:space="preserve"> Dead End Clamp Suitable for 70 -95 Sqmm Bare Messenger (Including 1 No. Dead End Bracket + 1 No. Dead End + 1.5 Mtr SS Strap + 2 Nos. SS buckle)  </t>
  </si>
  <si>
    <t>1 KM 11KV Overhead Line on 9 mtr PSC Pole 11 KV XLPE HT AB Cable 3Cx95mm2+80mm2 bare messenger</t>
  </si>
  <si>
    <t>1 KM 11KV Overhead Line on 9 mtr PSC Pole11 KV XLPE HT AB Cable 3Cx50mm2+70mm2 bare messenger</t>
  </si>
  <si>
    <t>New 33/11 KV PSS with 2x5 MVA Power T/F with One 33 KV incoming, one 33 KV outgoing and four 11 KV outgoing</t>
  </si>
  <si>
    <t>Kms</t>
  </si>
  <si>
    <t>New 33/11 KV PSS with 1x10 MVA Power T/F with two 33 KV incoming and Six 11 KV outgoing</t>
  </si>
  <si>
    <t>33 KV Earthing (Conventional) complete with GI wire no. 8 for 33KV line, DSS, LT Line</t>
  </si>
  <si>
    <t>3 times of erection rate of Single PSC Pole</t>
  </si>
  <si>
    <t>4 times of erection rate of Single PSC Pole</t>
  </si>
  <si>
    <t>b) For 3.15 KVA Power Transformer</t>
  </si>
  <si>
    <t>a) For 1.6 MVA Power Transformer</t>
  </si>
  <si>
    <t>Construction of transformer brick concrete foundation with plinth of 33/11KV Power Transformers as per approved drawing</t>
  </si>
  <si>
    <t>Per Foundation</t>
  </si>
  <si>
    <t>Ref: Building Construction Department (Govt. of Jharkhand) w.e.f. 1st April 2015
Calculation: Per 30.50 meter trench: (E/W excavation of trenches 30.50x0.75x1 cum @ INR 1966.79) + (brick flat soling 30.50x0.75 m2 @ INR 5330.33) + (PCC (1:4:8) in base slab 30.50x0.75x0.075 cum @ INR 5912.027) + (Brick Work (1:6) in C.M. in F &amp;P 2x30.5x0.25x0.2 @ INR 11645.99) + (12mm. Cement plaster (1:3) with punning 30.50x1.27 @ INR 6253.3)</t>
  </si>
  <si>
    <t>Erection of 33KV Gantry column and girder including concrete foundation and top muffing for complete structures with a two-legged gantry column (including supply of stone/jhama chips and without cement which is to be supplied by JBVNL)</t>
  </si>
  <si>
    <t>Erection of structure for 33KV / 11KV CT / PT including concrete foundation and top muffing (including supply of stone/jhama chips and without cement which is to be supplied by JBVNL)</t>
  </si>
  <si>
    <t>Construction of brick foundation plinth of 33KV breaker as per approved drawing (including supply of stone/jhama chips and without cement which is to be supplied by JBVNL)</t>
  </si>
  <si>
    <t>Erection of structure for 33KV Horn Gap fuse set including concrete foundation and top muffing (including supply of stone/jhama chips and without cement which is to be supplied by JBVNL)</t>
  </si>
  <si>
    <t>Erection of structure for 33KV / 11KV swing bus including concrete foundation and top muffing (including supply of stone/jhama chips and without cement which is to be supplied by JBVNL)</t>
  </si>
  <si>
    <t>Erection of pedestal support structure for 33KV / 11KV power bus including concrete foundation and top muffing (including supply of stone/jhama chips and without cement which is to be supplied by JBVNL)</t>
  </si>
  <si>
    <t>Construction of brick foundation plinth of 11KV breaker as per approved drawing (including supply of stone/jhama chips and without cement which is to be supplied by JBVNL)</t>
  </si>
  <si>
    <t>Erection of structure for 11KV Horn Gap fuse set including concrete foundation and top muffing (including supply of stone/jhama chips and without cement which is to be supplied by JBVNL)</t>
  </si>
  <si>
    <t>Erection of terminals / take off structure of 11KV line including concrete foundation and top muffing (including supply of stone/jhama chips and without cement which is to be supplied by JBVNL)</t>
  </si>
  <si>
    <t>(b)Fixing and placing of the Transformer (500 KVA) on Transformer base fixing with pole with proper clamps and Angle lron, welding the transformer with transformer base channel and Transformer Angle Iron with clamps.</t>
  </si>
  <si>
    <t>c) For 5 MVA Power Transformer</t>
  </si>
  <si>
    <t>d) For 10 MVA Power Transformer</t>
  </si>
  <si>
    <t>Proportionate w.r.t. rate of pole pit excavation for 13 meters 52/60 kg rail pole</t>
  </si>
  <si>
    <t>Proportionate w.r.t. rate of pole pit excavation for 13 meters 60 kg rail pole</t>
  </si>
  <si>
    <t>11 KV XLPE HT AB Cable 3Cx185mm2+240mm2 bare messenger (2700 kg/km)</t>
  </si>
  <si>
    <t>11 KV XLPE HT AB Cable 3Cx95mm2+80mm2 bare messenger (2250 kg/km)</t>
  </si>
  <si>
    <t>11 KV XLPE HT AB Cable 3Cx70mm2+70mm2 bare messenger (1900 kg/km)</t>
  </si>
  <si>
    <t>11 KV XLPE HT AB Cable 3Cx50mm2+70mm2 bare messenger (1630 kg/km)</t>
  </si>
  <si>
    <t>11 KV XLPE HT AB Cable 3Cx35mm2+70mm2 bare messenger (1450 kg/km)</t>
  </si>
  <si>
    <t>LT XLPE AB Cable 3Cx120+70mm2 (1430 kg/km)</t>
  </si>
  <si>
    <t>LT XLPE AB Cable 3Cx95+70mm2 (1180 kg/km)</t>
  </si>
  <si>
    <t>LT XLPE AB Cable 3Cx50+35mm2 (1270 kg/km)</t>
  </si>
  <si>
    <t>LT XLPE AB Cable 3Cx35+25mm2  (802 kg/km)</t>
  </si>
  <si>
    <t>LT XLPE AB Cable 3Cx16+25mm2 (610 kg/km)</t>
  </si>
  <si>
    <t>per KM</t>
  </si>
  <si>
    <t>33 KV HT XLPE Cable laying 3 core 400 sq mm (Armoured) (13100 kg/km)</t>
  </si>
  <si>
    <t>33 KV HT XLPE Cable laying 3 Core 300mm2 (Armoured) (11350 kg/km)</t>
  </si>
  <si>
    <t>33 KV HT XLPE Cable laying 3 Core 185mm2 (Armoured) (9250 kg/km)</t>
  </si>
  <si>
    <t>33 KV HT XLPE Cable laying 3 Core 150mm2 (Armoured) (8400 kg/km)</t>
  </si>
  <si>
    <t>33 KV HT XLPE Cable laying 3 Core 120mm2 (Armoured) (7750 kg/km)</t>
  </si>
  <si>
    <t>33 KV HT XLPE Cable laying 3 Core 95mm2 (Armoured) (7100 kg/km)</t>
  </si>
  <si>
    <t>11 KV XLPE Cable laying single core 630mm2 (Armoured) (3200 kg/km)</t>
  </si>
  <si>
    <t>11KV HT XLPE cable laying 3 core, Armoured 400 sq mm (9100 kg/km)</t>
  </si>
  <si>
    <t>11KV HT XLPE cable laying 3 core, Armoured 300sq mm (7600 kg/km)</t>
  </si>
  <si>
    <t>11KV HT XLPE cable laying 3 core, Armoured 240sq mm (6600 kg/km)</t>
  </si>
  <si>
    <t>11KV HT XLPE cable laying 3 core, Armoured 185 sq mm (5650 kg/km)</t>
  </si>
  <si>
    <t>11KV HT XLPE cable laying 3 core, Armoured 150 sq mm (4900 kg/km)</t>
  </si>
  <si>
    <t>11KV HT XLPE cable laying 3 core, Armoured 120 sq mm (4400 kg/km)</t>
  </si>
  <si>
    <t>11KV HT XLPE cable laying 3 core, Armoured 95 sq mm (3850 kg/km)</t>
  </si>
  <si>
    <t>11KV HT XLPE cable laying 3 core, Armoured 70 sq mm and below (3300 kg/km)</t>
  </si>
  <si>
    <t>LT XLPE cable laying 3.5 core, Armoured 400sq mm  (6480 kg/km)</t>
  </si>
  <si>
    <t>LT XLPE cable laying 3.5 core, Armoured 300sq mm  (5170 kg/km)</t>
  </si>
  <si>
    <t>LT XLPE cable laying 3.5 core, Armoured  240 sq mm  (4290 kg/km)</t>
  </si>
  <si>
    <t>LT XLPE cable laying 3.5 core, Armoured  185 sq mm  (3480 kg/km)</t>
  </si>
  <si>
    <t>LT XLPE cable laying 3.5 core, Armoured  150 sq mm  (2840 kg/km)</t>
  </si>
  <si>
    <t>LT XLPE cable laying 3.5 core,  Armoured 120 sq mm  (2460 kg/km)</t>
  </si>
  <si>
    <t>LT XLPE cable laying 3.5 core,  Armoured 95 sq mm  (2000 kg/km)</t>
  </si>
  <si>
    <t>LT XLPE cable laying 3.5 core,  Armoured 70 sq mm  (1610 kg/km)</t>
  </si>
  <si>
    <t>LT XLPE cable laying 3.5 core,  Armoured 50 sq mm  (1230 kg/km)</t>
  </si>
  <si>
    <t>LT XLPE cable laying 3.5 core,  Armoured 35 sq mm  (1030 kg/km)</t>
  </si>
  <si>
    <t>LT XLPE cable laying 3.5 core,  Armoured 25 sq mm and below (870 kg/km)</t>
  </si>
  <si>
    <t>33 KV HT XLPE Cable laying Single Core 630mm2 (Armoured) (4300 kg/km)</t>
  </si>
  <si>
    <t>Cable Jointing, Termination joint, HT for 400/300 /240/150 sq mm 3 core armoured cable both ID &amp; OD</t>
  </si>
  <si>
    <t>Cable Jointing, Termination joint, HT for 120/95/70 sq mm 3 core armoured cable both ID &amp; OD</t>
  </si>
  <si>
    <t>Laying and stringing of AB cable complete with all accessories (dead end clamp with eyehook, suspension clamp with eyehook, Stain fiitting, Guy strip dead end, LT connectors, piercing connectors, satellite connectors, distribution/ service connection box, etc) as per requirement of the site:</t>
  </si>
  <si>
    <t>3.95% (escalation on materail cost with 0.6 weightage)
27.98% (escalation on labour work with 0.4 weightage)</t>
  </si>
  <si>
    <t>Per Plinth</t>
  </si>
  <si>
    <t>Construction of platform (1.5x1.5x1.2) mtr in size stone, for erection of transformers/Heavy equipment including all materials, labour.Excavation of (1.5x1.5x1) mt pit for foundation providing and laying cement concrete 1:4:8 for foundation laid in 1cm thick layers, well compacted curing etc., complete providing and construction of stone masonary 0.9m below ground level and 1.2m above ground level neatly hammer dressed in cement morter 1:6 cutting complete providing pointing to stone masonary in cement morter 1:3 after racking joint &amp; nisely lining curing etc., plastering the concrete surfaces in cement morter 1:4 including smooth randering curing etc., curing at every stages completely.</t>
  </si>
  <si>
    <t>Escalation of 27.98% on rate mentioned in 2014-15 cost data book</t>
  </si>
  <si>
    <t>4 times the rate of single pole erection cost</t>
  </si>
  <si>
    <t>3 times the rate of single pole erection cost</t>
  </si>
  <si>
    <t>Escalation of 29.67% (for 2014-15 rate) on 2012-13 rate and further escalation of 27.98% on the calculated rate</t>
  </si>
  <si>
    <t>Sum of Single Pole and Double Pole Rate</t>
  </si>
  <si>
    <t>Proportionate w.r.t. rate for laying out and sagging of Dog (100 sq mm) conductor</t>
  </si>
  <si>
    <t>Same as S.No. 31</t>
  </si>
  <si>
    <t>Gang of 26 manpower per day</t>
  </si>
  <si>
    <t>Proportionate (1.5 times) w.r.t. rate of placing 5MVA Power Transformer on the plinth</t>
  </si>
  <si>
    <t>2 times the rate of erection of Single Tubular Pole 11mtrs</t>
  </si>
  <si>
    <t>2 times the rate of erection of Single Tubular Pole 13mtrs</t>
  </si>
  <si>
    <t>4 times the rate of single pole (rail pole 52kg 13 mtrs) erection cost</t>
  </si>
  <si>
    <t>4 times the rate of single pole (rail pole 60kg 13 mtrs) erection cost</t>
  </si>
  <si>
    <t>Erection of Pole (RS Joist Pole 9.3 meter (175x85mm) 19.6 kgs per mtr)</t>
  </si>
  <si>
    <t>2 times the rate of single pole (RS Joist Pole 9.3 meter (175x85mm) 19.6 kgs per mtr) erection cost</t>
  </si>
  <si>
    <t>3 times the rate of single pole (RS Joist Pole 9.3 meter (175x85mm) 19.6 kgs per mtr) erection cost</t>
  </si>
  <si>
    <t>4 times the rate of single pole (RS Joist Pole 9.3 meter (175x85mm) 19.6 kgs per mtr) erection cost</t>
  </si>
  <si>
    <t>Erection of Pole (RS Joist Pole 9 meter (116x100mm) 23 kgs per mtr)</t>
  </si>
  <si>
    <t>2 times the rate of single pole (RS Joist Pole 9 meter (116x100mm) 23 kgs per mtr) erection cost</t>
  </si>
  <si>
    <t>3 times the rate of single pole (RS Joist Pole 9 meter (116x100mm) 23 kgs per mtr) erection cost</t>
  </si>
  <si>
    <t>4 times the rate of single pole (RS Joist Pole 9 meter (116x100mm) 23 kgs per mtr) erection cost</t>
  </si>
  <si>
    <t>Erection of Pole (H Beam Pole 11 meters (152x152mm) 37.1 kgs per mtr)</t>
  </si>
  <si>
    <t>2 times the rate of single pole (H Beam Pole 11 meters (152x152mm) 37.1 kgs per mtr) erection cost</t>
  </si>
  <si>
    <t>3 times the rate of single pole (H Beam Pole 11 meters (152x152mm) 37.1 kgs per mtr) erection cost</t>
  </si>
  <si>
    <t>4 times the rate of single pole (H Beam Pole 11 meters (152x152mm) 37.1 kgs per mtr) erection cost</t>
  </si>
  <si>
    <t>2 times the rate of double pole</t>
  </si>
  <si>
    <t>2 Semi Skilled Manpower 10 Vcross arm per day</t>
  </si>
  <si>
    <t>2 Semi Skilled Manpower 5 DP Channels per day</t>
  </si>
  <si>
    <t>2 Semi Skilled Manpower 5 DP Cross Bracings per day</t>
  </si>
  <si>
    <t>Gang of 22 manpower per day</t>
  </si>
  <si>
    <t>Escalation of 3.95% on material cost (with 0.6 weightage) and 27.98% on labour work (with 0.4 weightage) on rate mentioned in 2014-15 cost data book</t>
  </si>
  <si>
    <t>Rajasthan</t>
  </si>
  <si>
    <t>Haryana (DHBVNL)</t>
  </si>
  <si>
    <t>Delhi (BSES Rajdhani Power Ltd)</t>
  </si>
  <si>
    <t>Rates ref: West Bengal +
Cost of HDPE Pipe (110/140mm @ INR 289, 160mm @ INR 366, 200mm @ INR 570)</t>
  </si>
  <si>
    <t>West Bengal 
(M/s Skipper India Ltd)</t>
  </si>
  <si>
    <t>Proportionate w.r.t. laying rate of 33KV XLPE 3 core 400 mm2 armoured cable with escalation of 27.98%</t>
  </si>
  <si>
    <t>Proportionate w.r.t. laying rate of 33KV XLPE 3 core 182 mm2 armoured cable with escalation of 27.98%</t>
  </si>
  <si>
    <t>Cable Jointing  Straight Through Joint  300/240/185/150 sq mm HT 3 core cable</t>
  </si>
  <si>
    <t>Cable Jointing  Straight Through Joint  120/95/70  sq mm HT 3 core cable</t>
  </si>
  <si>
    <t>Proportionate w.r.t. rate of Cable Jointing  Straight Through Joint  300/240/185/150 sq mm HT 3 core cable with escalation of 27.98%</t>
  </si>
  <si>
    <t>Proportionate w.r.t. rate of Cable Jointing, Termination joint, HT for 400/300 /240/150 sq mm 3 core armoured cable both ID &amp; OD with escalation of 27.98%</t>
  </si>
  <si>
    <t>Ref: Estimate from JBVNL approved contractor (M/s Polycab)</t>
  </si>
  <si>
    <t>Single  Suspension fittings with 3 Nos. 70KN  insulators and Hardware.</t>
  </si>
  <si>
    <t>Single tension fittings with 3 Nos. 70KN  insulator and hardware</t>
  </si>
  <si>
    <t>Mid span compression joint</t>
  </si>
  <si>
    <t>Repair Sleeves</t>
  </si>
  <si>
    <t>Insulator with Hardware for 232 sq.mm. ACSR Panther conductor</t>
  </si>
  <si>
    <t>Accessories for 232 sq.mm. ACSR Panther conductor</t>
  </si>
  <si>
    <t>Fixing of Mid span compression joint</t>
  </si>
  <si>
    <t>Fixing of Repair Sleeves</t>
  </si>
  <si>
    <t>Fixing of PG clamp</t>
  </si>
  <si>
    <t>Fixing of Anti climbing devices</t>
  </si>
  <si>
    <t>Top channel for Rail Pole 60 kg 13 mtrs.</t>
  </si>
  <si>
    <t>Rates from 33KV line labour cost analysis sheet</t>
  </si>
  <si>
    <t>Re: 33KV line labour analysis sheet with Escalation of 27.98% on rate mentioned in 2014-15 cost data book</t>
  </si>
  <si>
    <r>
      <t xml:space="preserve">Foundation of 60kg/mtr ,13 mtr long rail pole DP structures  including excavation concreting, back filling and copping
</t>
    </r>
    <r>
      <rPr>
        <i/>
        <sz val="10"/>
        <rFont val="Calibri"/>
        <family val="2"/>
        <scheme val="minor"/>
      </rPr>
      <t>[2x{(600x600x1200mm concreting and 300x300x450 mm copping)}=.945 cubic meter complete for one DP]</t>
    </r>
  </si>
  <si>
    <r>
      <t xml:space="preserve">Concreting of stays for above DPs including excavation concreting, back filling etc.
</t>
    </r>
    <r>
      <rPr>
        <i/>
        <sz val="10"/>
        <rFont val="Calibri"/>
        <family val="2"/>
        <scheme val="minor"/>
      </rPr>
      <t>[per stay 600x600x1200 mm for one stay]</t>
    </r>
  </si>
  <si>
    <t>Ref: Building Construction Department (Govt. of Jharkhand) w.e.f. 1st April 2015
Calculation: (INR 4428.8 per mtr3) x [mtr3]</t>
  </si>
  <si>
    <t>1 KM 33KV Overhead line with 232 sq mm Panther Conductor on 13 meter 60kg/mtr Rail pole</t>
  </si>
  <si>
    <t>33 KV DP line with Suspension Insulators Labour Cost Analysis</t>
  </si>
  <si>
    <t>Ref: Gujarat (PGVCL)</t>
  </si>
  <si>
    <t>Laying out and sagging of Conductor Including mid jointing wherever necessray for the three phases of Panther (232 sq.mm.) Conductor with 5% sag</t>
  </si>
  <si>
    <t>Anticlimbing Device(Barbed wire) 2x12 SWG</t>
  </si>
  <si>
    <t>1 KM 33kV HT Tenchless UG cable laying 3 core, Armoured 300 sq mm with Hume pipe</t>
  </si>
  <si>
    <t>1 KM 33kV HT Tenchless cable laying 3 core, Armoured 185 sq mm With  Hume pipe</t>
  </si>
  <si>
    <t>1 KM 11kV HT Tenchless cable laying 3 core, Armoured 300 sq mm With  Hume pipe</t>
  </si>
  <si>
    <t>1 KM 11kV HT Tenchless cable laying 3 core, Armoured 185 sq mm With  Hume pipe</t>
  </si>
  <si>
    <t>1 KM 33kV HT Tenchless cable laying 3 core, Armoured 300 sq mm with Hume pipe</t>
  </si>
  <si>
    <r>
      <t xml:space="preserve">Methodology Adopted for escalation factor calculation in JBVNL Cost Data Book </t>
    </r>
    <r>
      <rPr>
        <b/>
        <u/>
        <sz val="11"/>
        <color theme="1"/>
        <rFont val="Calibri"/>
        <family val="2"/>
        <scheme val="minor"/>
      </rPr>
      <t>2016-17</t>
    </r>
  </si>
  <si>
    <t>Construction of driving and reception pits and laying of HDPE Pipes by HDD method as per required depth including inserting of cable through HDPE pipes but including pipe rates:</t>
  </si>
  <si>
    <t>Laying of HDPE Pipe using HDD method in Normal Soil
(including pipe rates)</t>
  </si>
  <si>
    <t>1 KM 33kV HT Double Circuit cable laying using Trench 3 core, Armoured 300 sq mm</t>
  </si>
  <si>
    <t>1 KM 33kV HT Double Circuit cable laying using Trench 3 core, Armoured 185 sq mm</t>
  </si>
  <si>
    <t>1 KM 11kV HT Double Circuit cable laying using Trench 3 core, Armoured 300 sq mm</t>
  </si>
  <si>
    <t>1 KM 11kV HT Double Circuit cable laying using Trench 3 core, Armoured 185 sq mm</t>
  </si>
  <si>
    <t>Erection of 100KVA Substation Transformer</t>
  </si>
  <si>
    <t>Ref: DSS Labour cost analysis sheet</t>
  </si>
  <si>
    <t>271.0 (For earth work only)</t>
  </si>
  <si>
    <t>1019.94 (rates is inclusive of all material except supply of angle)</t>
  </si>
  <si>
    <t>A.223</t>
  </si>
  <si>
    <t>2.5 mm2 copper 6 core control cable (Un-armoured)</t>
  </si>
  <si>
    <t>33 KV VCB with single T/F control pannel and CT 200/200/1A with Structure (all Out Door type)</t>
  </si>
  <si>
    <t>1 KM 33kV HT Tenchless Double circuit cable laying 3 core, Armoured 300 sq mm with Hume pipe</t>
  </si>
  <si>
    <t>1 KM 33kV HT Tenchless Double circuit cable laying 3 core, Armoured 185 sq mm With  Hume pipe</t>
  </si>
  <si>
    <t>1 KM 11kV HT Tenchless Double circuit cable laying 3 core, Armoured 300 sq mm With  Hume pipe</t>
  </si>
  <si>
    <t>1 KM 11kV HT Tenchless Double circuit cable laying 3 core, Armoured 185 sq mm With  Hume pipe</t>
  </si>
  <si>
    <t>1 KM 33kV HT Tenchless Double ciruit cable laying 3 core, Armoured 300 sq mm with Hume pipe</t>
  </si>
  <si>
    <t>1 KM 33kV HT Tenchless Double ciruit cable laying 3 core, Armoured 185 sq mm With  Hume pipe</t>
  </si>
  <si>
    <t>1 KM 11kV HT Tenchless Double ciruit cable laying 3 core, Armoured 300 sq mm With  Hume pipe</t>
  </si>
  <si>
    <t>1 KM 11kV HT Tenchless Double ciruit cable laying 3 core, Armoured 185 sq mm With  Hume pipe</t>
  </si>
  <si>
    <t>1 KM 11kV HT Tenchless Double ciruit cable laying 3 core, Armoured 400 sq mm With  Hume pipe</t>
  </si>
  <si>
    <t>1 KM 33kV HT Tenchless Double ciruit cable laying 3 core, Armoured 400 sq mm with Hume pipe</t>
  </si>
  <si>
    <t>1 KM 33kV HT Tenchless Double circuit cable laying 3 core, Armoured 400 sq mm with Hume pipe</t>
  </si>
  <si>
    <t>1 KM 11kV HT Tenchless Double circuit cable laying 3 core, Armoured 400 sq mm With  Hume pipe</t>
  </si>
  <si>
    <t>33 KV HT XLPE Cable 3 Core 400mm2 (Armoured)</t>
  </si>
  <si>
    <t>33 KV 3-core XLPE UG cable Heat shrinkable straight through Jointing kit suitable for 400 mm2</t>
  </si>
  <si>
    <t>11 KV XLPE Cable 3 Core 400mm2 (Armoured)</t>
  </si>
  <si>
    <t>11 KV  3-core heat shrinkable Indoor Cable Jointing kit 400 mm2</t>
  </si>
  <si>
    <t>AA</t>
  </si>
  <si>
    <t>AB</t>
  </si>
  <si>
    <t>AC</t>
  </si>
  <si>
    <t>AD</t>
  </si>
  <si>
    <t>AE</t>
  </si>
  <si>
    <t>AF</t>
  </si>
  <si>
    <t>AG</t>
  </si>
  <si>
    <t>AH</t>
  </si>
  <si>
    <t>AI</t>
  </si>
  <si>
    <t>AJ</t>
  </si>
  <si>
    <t>AK</t>
  </si>
  <si>
    <t>AL</t>
  </si>
  <si>
    <t>AM</t>
  </si>
  <si>
    <t>AN</t>
  </si>
  <si>
    <t>AO</t>
  </si>
  <si>
    <t>1 KM 33kV HT Tenchless cable laying 3 core, Armoured 400 sq mm with Hume pipe</t>
  </si>
  <si>
    <t>1 KM 11kV HT Tenchless cable laying 3 core, Armoured 400 sq mm With  Hume pipe</t>
  </si>
  <si>
    <t>A.50</t>
  </si>
  <si>
    <t>33 KV HT XLPE Cable 3 core 400 sq mm (Armoured)</t>
  </si>
  <si>
    <t>A.231</t>
  </si>
  <si>
    <t>11 KV XLPE Cable 3 core 400mm2 (Armoured)</t>
  </si>
  <si>
    <t>1 KM 33kV HT Tenchless UG cable laying 3 core, Armoured 400 sq mm with Hume pipe</t>
  </si>
  <si>
    <t>33 KV 3-core heat shrikable Indoor Cable termination  kit for 400mm2</t>
  </si>
  <si>
    <t>33 KV 3-core heat shrinkable Out door type Cable termination kit for 400mm2</t>
  </si>
  <si>
    <t>11 KV  3-core heat shrinkable Straight through Cable Jointing kit 400 mm2</t>
  </si>
  <si>
    <t>A.417</t>
  </si>
  <si>
    <t>11 KV 3-core heat shrinkable Outdoor Cable Jointing kit 400 mm2</t>
  </si>
  <si>
    <t>JBVNL COST DATA BOOK 2016-17</t>
  </si>
  <si>
    <t>For 2 year</t>
  </si>
  <si>
    <t>For 1 year</t>
  </si>
  <si>
    <t>Item Code.</t>
  </si>
  <si>
    <t>Name of Material/Equipment</t>
  </si>
  <si>
    <t>Per unit Weight (in KG)</t>
  </si>
  <si>
    <t>Unit Rate in INR per Kg</t>
  </si>
  <si>
    <t>Category of Material
(Existing / New)</t>
  </si>
  <si>
    <t>Procurement Source
HO: Head Office
RO: Regional Office</t>
  </si>
  <si>
    <t>Consultant M/s Feedback Infra Pvt. Ltd. Recommendation</t>
  </si>
  <si>
    <t>Cost Data Committee Recommendation</t>
  </si>
  <si>
    <t>Turnkey Rates</t>
  </si>
  <si>
    <t>&lt;5 Crore project Value</t>
  </si>
  <si>
    <t>&gt;5 Crore Project Value</t>
  </si>
  <si>
    <t>Reference Rates (in INR)</t>
  </si>
  <si>
    <r>
      <t xml:space="preserve">Multiplication Factor </t>
    </r>
    <r>
      <rPr>
        <b/>
        <sz val="11"/>
        <color theme="1"/>
        <rFont val="Calibri"/>
        <family val="2"/>
        <scheme val="minor"/>
      </rPr>
      <t xml:space="preserve"> </t>
    </r>
  </si>
  <si>
    <t>Escalation Rate
(as per PO date)</t>
  </si>
  <si>
    <t>Final Rates (in INR)</t>
  </si>
  <si>
    <t>Comments</t>
  </si>
  <si>
    <t>Rates (in INR)</t>
  </si>
  <si>
    <t>2015-16</t>
  </si>
  <si>
    <t>Aluminium</t>
  </si>
  <si>
    <t>Steel </t>
  </si>
  <si>
    <t>Cement And Lime</t>
  </si>
  <si>
    <t>Copper Wire (All Types) </t>
  </si>
  <si>
    <t>Dollar Prices</t>
  </si>
  <si>
    <t>Existing</t>
  </si>
  <si>
    <t>HO</t>
  </si>
  <si>
    <t>Head Office Rate (Latest May 2016)</t>
  </si>
  <si>
    <t>Approved</t>
  </si>
  <si>
    <t>Rail Pole 52 Kg 13 meter</t>
  </si>
  <si>
    <t>Head Office Rate (Old March 2015) INR 25,650 is proportionate</t>
  </si>
  <si>
    <t>2014-16</t>
  </si>
  <si>
    <t>A.433</t>
  </si>
  <si>
    <t>RS Joist Pole 9.3 meter (175x85mm) 19.6 kgs per mtr</t>
  </si>
  <si>
    <t>New</t>
  </si>
  <si>
    <t>Nearest state rate (Dept. of Energy (Odisha) 2015-16)</t>
  </si>
  <si>
    <t>A.435</t>
  </si>
  <si>
    <t>RS Joist Pole 9 meter (116x100mm) 23 kgs per mtr</t>
  </si>
  <si>
    <t>A.434</t>
  </si>
  <si>
    <t>H Beam Pole 11 meters (152x152mm) 37.1 kgs per mtr</t>
  </si>
  <si>
    <t>RO</t>
  </si>
  <si>
    <t>Average of 2 area boards rates</t>
  </si>
  <si>
    <t>HO, RO</t>
  </si>
  <si>
    <t>Head Office Rate</t>
  </si>
  <si>
    <t>MS PLATE</t>
  </si>
  <si>
    <t>Steel Tubular Pole (SP-55 227 kgs) of 11meter</t>
  </si>
  <si>
    <t>2014-15 with escalation</t>
  </si>
  <si>
    <t>kg/sq. meter</t>
  </si>
  <si>
    <t>Steel Tubular Pole (SP-72 343 kgs) of 13meter</t>
  </si>
  <si>
    <t>Nearest state rate (CSPDCL (Chattisgarh) 2015-16)</t>
  </si>
  <si>
    <t>GI Base Plate for 33KV (500x500x10 mm) Avg weight 19.6kg/plate</t>
  </si>
  <si>
    <t>Calculated on the basis of GI item rate @ INR 65.4 per kg rate of galvanized fabricated item (latest procurement rate of JBVNL)</t>
  </si>
  <si>
    <t>kg/sq. mm</t>
  </si>
  <si>
    <t>Stone Base plate for 11 KV, DSS, LT</t>
  </si>
  <si>
    <t>Dia</t>
  </si>
  <si>
    <t>mm</t>
  </si>
  <si>
    <t>sq.mm</t>
  </si>
  <si>
    <t>ACSR Wolf Conductor (150 sq. mm)</t>
  </si>
  <si>
    <t>thinkness 20</t>
  </si>
  <si>
    <t>ACSR Dog conductor (100 sq. mm)</t>
  </si>
  <si>
    <t>kg/piece</t>
  </si>
  <si>
    <t>ACSR Rabbit Conductor (55 mm2)</t>
  </si>
  <si>
    <t>Head Office latest procurement Rate (NIT number 374/PR/JBVNL/2015-16)</t>
  </si>
  <si>
    <t>ACSR Weasel conductor (34 sq. mm)</t>
  </si>
  <si>
    <t>33 KV Pin Insulator with Pin (Porcelain type)</t>
  </si>
  <si>
    <t>Average of 5 area boards rates</t>
  </si>
  <si>
    <t>Average of 3 area boards rates</t>
  </si>
  <si>
    <t>A.186</t>
  </si>
  <si>
    <t>33 KV Pin Insulator (Porcelain Type)</t>
  </si>
  <si>
    <t>33 KV pin</t>
  </si>
  <si>
    <t>33 KV Disc. Insulator (Porcelain Type) 70 KN with H/W fitting</t>
  </si>
  <si>
    <t>Average of 4 area boards rates</t>
  </si>
  <si>
    <t>A.187</t>
  </si>
  <si>
    <t>33 KV Disc Insulator (Porcelain Type) 70 KN</t>
  </si>
  <si>
    <t>33 KV Disc H/W fitting (Porcelain Type) 70 KN</t>
  </si>
  <si>
    <t xml:space="preserve">11 KV Pin Insulator with Pin (Porcelain Type) </t>
  </si>
  <si>
    <t xml:space="preserve">11 KV Pin Insulator with Pin (Polymer Type) </t>
  </si>
  <si>
    <t>A.188</t>
  </si>
  <si>
    <t>11 KV Pin insulator (Porcelain Type)</t>
  </si>
  <si>
    <t>A.189</t>
  </si>
  <si>
    <t>11 KV Pin</t>
  </si>
  <si>
    <t>11 KV Disc Insulator (Porcelain Type) 45 KN with H/W</t>
  </si>
  <si>
    <t>11 KV Disc Insulator (Polymer Type) 45 KN with H/W</t>
  </si>
  <si>
    <t>A.190</t>
  </si>
  <si>
    <t>11 KV Disc Insulator 45 KN (Porcelain type)</t>
  </si>
  <si>
    <t>A.191</t>
  </si>
  <si>
    <t>11 KV Disc H/W (Porcelain type)</t>
  </si>
  <si>
    <t>LT Pin insulator (Porcelain type)</t>
  </si>
  <si>
    <t>Average of 6 area boards rates</t>
  </si>
  <si>
    <t xml:space="preserve">LT Pin </t>
  </si>
  <si>
    <t>LT Shackle insulator (Porcelain type)</t>
  </si>
  <si>
    <t>LT shackle strip with bolts and nut</t>
  </si>
  <si>
    <t>Kg.</t>
  </si>
  <si>
    <t>A.192</t>
  </si>
  <si>
    <t>33 KV Stay Insulator</t>
  </si>
  <si>
    <t>A.33</t>
  </si>
  <si>
    <t>11 KV Stay Insulator</t>
  </si>
  <si>
    <t>A.193</t>
  </si>
  <si>
    <t>33 KV 3 pin type AB switch 800 Amp</t>
  </si>
  <si>
    <t>Andhra Pradesh 2014-15</t>
  </si>
  <si>
    <t>33 KV 3 pin type AB switch / Isolator 600 Amp</t>
  </si>
  <si>
    <t>33 KV 3 pin type AB switch / Isolator 400 Amp</t>
  </si>
  <si>
    <t>11 KV 3 pin type AB switch / Isolator 600 Amp</t>
  </si>
  <si>
    <t>11 KV 3 pin type AB switch / Isolator 400 Amp</t>
  </si>
  <si>
    <t>11 KV 3 pin type AB switch / Isolator 200 Amp</t>
  </si>
  <si>
    <t>33 KV Lightening Arrester (30KV,10KA Class II)</t>
  </si>
  <si>
    <t>11 KV Lightening Arrester (9 KV, 10 KA Class II)</t>
  </si>
  <si>
    <t>33 KV Stay set complete (1900x20 mm) with staywire 7/8 SWG</t>
  </si>
  <si>
    <t>11 KV Stay Set Complete (1800x16 mm) with stay wire 7/10 SWG</t>
  </si>
  <si>
    <t>GI Stay Wire No. 7/8, 7/10, 7/12</t>
  </si>
  <si>
    <t>Cost Data Book 2014-15 and Ranchi rate are comparable. Dumka rate is too low</t>
  </si>
  <si>
    <t>A.197</t>
  </si>
  <si>
    <t>Earthing (Conventional) with GI earthing pipe 40 mm 3.1 mtrs. Long (charcoal + salt as intermittent layers)</t>
  </si>
  <si>
    <t>Calculated (cost of GI earthing pipe of req. specifications + labour cost)</t>
  </si>
  <si>
    <t>Calculated (cost of GI earthing pipe of req. specifications + bentonite powder + labour cost)</t>
  </si>
  <si>
    <t>GI earthing pipe 3.1 meter long (40 mm Dia)</t>
  </si>
  <si>
    <t>11 KV Earthing pipe 20 mm 2.5 mtrs. Long</t>
  </si>
  <si>
    <t>A.200</t>
  </si>
  <si>
    <t>Earthing GI (Rod Type) 25 mm 1.2 Mtr.</t>
  </si>
  <si>
    <t>P G clamp for 232/150 sq mm conductor</t>
  </si>
  <si>
    <t>Latest rate (Internet)</t>
  </si>
  <si>
    <t>P G clamp for 80/100mm2</t>
  </si>
  <si>
    <t>P G Clamps for 34/55mm2</t>
  </si>
  <si>
    <t>Danger Board 33KV/11KV/LT</t>
  </si>
  <si>
    <t>Cost Data Book 2014-15 and Dhanbad rate, both are same</t>
  </si>
  <si>
    <t>Structure for 33kV Lightening Arrestor</t>
  </si>
  <si>
    <t>Nearest state rate (CSPDCL (Chattisgarh) 2015-16) is INR 7845.  @ INR 44.2 per kg is more comparable</t>
  </si>
  <si>
    <t>Head Office Latest Procurement</t>
  </si>
  <si>
    <t>MS Structure for 33 &amp; 11 KV Isolator</t>
  </si>
  <si>
    <t xml:space="preserve">MS Structure for 33 KV PT </t>
  </si>
  <si>
    <t>Average of 4 area boards rates is INR 27755.2 but @ INR 44.2 per kg is more comparable</t>
  </si>
  <si>
    <t xml:space="preserve">MS Structure for 11 KV PT </t>
  </si>
  <si>
    <t>Average of 5 area boards rates is INR 20788.2 but @ INR 44.2 per kg is more comparable</t>
  </si>
  <si>
    <t>A.205</t>
  </si>
  <si>
    <t>Structure for 11 KV PT  [Galvanized]</t>
  </si>
  <si>
    <t>MS Structure for Post Insulator for both 33KV and 11KV</t>
  </si>
  <si>
    <t>Structure for Post Insulator for both 33KV and 11KV [Galvanized]</t>
  </si>
  <si>
    <t>MS Structure for 33 KV HG fuse set</t>
  </si>
  <si>
    <t>A.207</t>
  </si>
  <si>
    <t>Structure for 33 KV HG fuse set [Galvanized]</t>
  </si>
  <si>
    <t>MS Gantry Column, Girder structures for 33/11 KV PSS for single Transformer</t>
  </si>
  <si>
    <t>MS 'A' structures for top mounted AB switch on 11 KV &amp; 33 KV Bus</t>
  </si>
  <si>
    <t xml:space="preserve">MS 'A' Structures for 11 KV Take off with top mounted AB Switch and provision of Lightening Arrester </t>
  </si>
  <si>
    <t>A.217</t>
  </si>
  <si>
    <t>33 KV 800-400/5-5-5-5A CT</t>
  </si>
  <si>
    <t>A.25</t>
  </si>
  <si>
    <t>33 KV 400-200/5-5-5-5A CT</t>
  </si>
  <si>
    <t>A.26</t>
  </si>
  <si>
    <t>33 KV 300-150/5-5-5-5A CT</t>
  </si>
  <si>
    <t>A.27</t>
  </si>
  <si>
    <t>33 KV 200-100/5-5-5-5A CT</t>
  </si>
  <si>
    <t>A.218</t>
  </si>
  <si>
    <t>11 KV 800-400/5-5-5-5A CT</t>
  </si>
  <si>
    <t>A.219</t>
  </si>
  <si>
    <t>11 KV 400-200/5-5-5-5A CT</t>
  </si>
  <si>
    <t>A.220</t>
  </si>
  <si>
    <t>11 KV 300-150/5-5-5-5A CT</t>
  </si>
  <si>
    <t>MPPKVVCL (M.P.) 2015-16</t>
  </si>
  <si>
    <t>A.221</t>
  </si>
  <si>
    <t>11 KV 200-100/5-5-5-5A CT</t>
  </si>
  <si>
    <t>A.222</t>
  </si>
  <si>
    <t>11 KV/110V P.T Class 1.0 with 50VA Burden</t>
  </si>
  <si>
    <t>11 KV Post Insulator</t>
  </si>
  <si>
    <t>33/11 KV Power Transformer 10 MVA Copper Wound, CRGO Core (off load tap changer)</t>
  </si>
  <si>
    <t>Lowest Rate among two orders by HO</t>
  </si>
  <si>
    <t>Nearest State rate (UPPCL, Uttar Pradesh 2014-15)</t>
  </si>
  <si>
    <t>33/11 KV Power Transformer 05 MVA Copper Wound, CRGO Core (off load tap changer)</t>
  </si>
  <si>
    <t>Nearest State &amp; Lowest rate (UPPCL, Uttar Pradesh 2014-15)</t>
  </si>
  <si>
    <t>A.438</t>
  </si>
  <si>
    <t>33/11 KV Power Transformer 3.15 MVA Copper Wound, CRGO Core (off load tap changer)</t>
  </si>
  <si>
    <t>A.439</t>
  </si>
  <si>
    <t>33/11 KV Power Transformer 3.15 MVA Copper Wound, CRGO Core (on load tap changer)</t>
  </si>
  <si>
    <t>A.440</t>
  </si>
  <si>
    <t>33/11 KV Power Transformer 1.6 MVA Copper Wound, CRGO Core (off load tap changer)</t>
  </si>
  <si>
    <t>A.441</t>
  </si>
  <si>
    <t>33/11 KV Power Transformer 1.6 MVA Copper Wound, CRGO Core (on load tap changer)</t>
  </si>
  <si>
    <t>Cost Data Book 2014-15 and Jamshedpur rate, both are comparable</t>
  </si>
  <si>
    <t>33 KV H.G. fuse set</t>
  </si>
  <si>
    <t>33 KV VCB, 1250 Amp., Outdoor Type, 26.3 KA for 1 sec rupturing capacity, with CR pannel
CT 600-400-200-100/1-1A, 2 Core, Accuracy 0.5 and 5 P10, VA Burden 15 VA &amp; 15 VA
PT 33KV / 110V, Accuracy class 1, VA Burden 100VA, Single Core</t>
  </si>
  <si>
    <t>A.5</t>
  </si>
  <si>
    <t>33 KV VCB, 1250A with 1000MVA (16KA for 1 second) rupturing capacity, out door use</t>
  </si>
  <si>
    <t>Latest rate (Haryana (DHBVN) 2016-17)</t>
  </si>
  <si>
    <t>A.10</t>
  </si>
  <si>
    <t>Control &amp; numeric relay with panel for 33 KV VCB feeder protection</t>
  </si>
  <si>
    <t>A.12</t>
  </si>
  <si>
    <t>Control &amp; numeric relay with panel for 33 KV VCB Transformer protection VCB.</t>
  </si>
  <si>
    <t>A.6</t>
  </si>
  <si>
    <t>11 KV VCB panels 800 Amps for Incoming Panel 18.4KA ,350MVA Rupturing capacity, 24 DC operated indoor type with a set of CT's, PT's, KWH meter, Relay, instrument etc &amp; Conforming to Nigam's Tech. Specs. &amp; all Relevant ISS/IEC with Latest amendments</t>
  </si>
  <si>
    <t>A.7</t>
  </si>
  <si>
    <t>11 KV VCB panels 400 Amps for Outgoing Panel 18.4KA ,350MVA Rupturing capacity, 24 DC operated indoor type with a set of CT's, PT's, KWH meter, Relay, instrument etc &amp; Conforming to Nigam's Tech. Specs. &amp; all Relevant ISS/IEC with Latest amendments</t>
  </si>
  <si>
    <t>A.8</t>
  </si>
  <si>
    <t>11 KV VCB , 400 Amps for Capacitor control Panel 18.4KA ,350MVA Rupturing capacity, 24 DC operated indoor type with a set of CT's, PT's, KWH meter, Relay, instrument etc &amp; Conforming to Nigam's Tech. Specs. &amp; all Relevant ISS/IEC with Latest amendments</t>
  </si>
  <si>
    <t>A.11</t>
  </si>
  <si>
    <t>Control &amp; numeric relay panel for 11 KV VCB Xmer protection</t>
  </si>
  <si>
    <t>Lowest &amp; Latest rate (MPPKVVCL (M.P.) 2015-16)</t>
  </si>
  <si>
    <t>A.13</t>
  </si>
  <si>
    <t>Control &amp; numeric relay panel for 11 KV VCB feeder protection</t>
  </si>
  <si>
    <t>Earthing G.I.Strip (65x6)mm2</t>
  </si>
  <si>
    <t>Connector Pipe to Panther</t>
  </si>
  <si>
    <t>Connector Panther to Panther</t>
  </si>
  <si>
    <t>Connector Panther to AB Switch</t>
  </si>
  <si>
    <t>Connector Pipe to Pipe</t>
  </si>
  <si>
    <t>Connector Pipe to Dog</t>
  </si>
  <si>
    <t>Connector Pipe to AB Switch</t>
  </si>
  <si>
    <t>Connector Dog to AB Switch</t>
  </si>
  <si>
    <t>Earth knob</t>
  </si>
  <si>
    <t>A.224</t>
  </si>
  <si>
    <t>2.5 mm2 copper 10 core control cable(Un-armoured)</t>
  </si>
  <si>
    <t>A.225</t>
  </si>
  <si>
    <t>2.5 mm2 copper 2 core control cable (Armoured)</t>
  </si>
  <si>
    <t>A.226</t>
  </si>
  <si>
    <t>2.5 mm2 copper 4 core control cable (Armoured)</t>
  </si>
  <si>
    <t>A.227</t>
  </si>
  <si>
    <t>2.5 mm2 copper 6 core control cable (Armoured)</t>
  </si>
  <si>
    <t>2.5 mm2 copper 10 core control cable (Armoured)</t>
  </si>
  <si>
    <t>A.228</t>
  </si>
  <si>
    <t>2.5 mm2 copper 12 core control cable (Armoured)</t>
  </si>
  <si>
    <t>MSEDCL (Maharashtra) 2012-13</t>
  </si>
  <si>
    <t>A.20</t>
  </si>
  <si>
    <t>Bentonite powder for Chemical Earthing</t>
  </si>
  <si>
    <t>A.21</t>
  </si>
  <si>
    <t>MS Earth Mat for switch yard</t>
  </si>
  <si>
    <t>Ton</t>
  </si>
  <si>
    <t>Market Rate</t>
  </si>
  <si>
    <t>Nearest state rate (SBPDCL (Bihar) 2014 (M/s Shirdi Sai Electricals Limited))</t>
  </si>
  <si>
    <t>A.142</t>
  </si>
  <si>
    <t>1815 kVAR 12.1 kV 3-phase 50 Hz Outdoor type Capacitor bank having step as 363 kvar+726 kvar+726 Kvar 12.1 kv Bank shall be complete with capacitor units of 121 kVAr at 6.98 kV including allied materials such as suitable size of aluminium busbars, pin/pos</t>
  </si>
  <si>
    <t>A.141</t>
  </si>
  <si>
    <r>
      <rPr>
        <b/>
        <sz val="10"/>
        <rFont val="Calibri"/>
        <family val="2"/>
        <scheme val="minor"/>
      </rPr>
      <t>Fully automatic Capacitor</t>
    </r>
    <r>
      <rPr>
        <sz val="10"/>
        <rFont val="Calibri"/>
        <family val="2"/>
        <scheme val="minor"/>
      </rPr>
      <t xml:space="preserve"> bank with automatic control panel, isolator, indoor type suitable Vacuum Circuit Breaker, mounting structures etc as required as per technical specifications, approved drawings, scope of the works of following capacities: (Banks in Muiltiple of 600 KVAR as per REC Specification)-1200 KVAR</t>
    </r>
  </si>
  <si>
    <t>Nearest state and lowest rate (Dept. of Energy (Odisha) 2015-16)</t>
  </si>
  <si>
    <t>A.140</t>
  </si>
  <si>
    <t>1089 kVAR 12.1 kV 3-phase 50 Hz Outdoor type Capacitor bank having step as 363</t>
  </si>
  <si>
    <t>11/0.433 KV Distribution Transformer 500 KVA, Copper wound, CRGO M4 Core ONAN</t>
  </si>
  <si>
    <t>11/0.433 KV Distribution Transformer 315 KVA, 3 Star, Copper Winding, Stack type CRGO Core fitted ONAN</t>
  </si>
  <si>
    <t>11/0.433 KV Distribution Transformer 200 KVA, 3 Star, Aluminium Winding, Stack type CRGO Core fitted, Completely Self Protected</t>
  </si>
  <si>
    <t>11/0.433 KV Distribution Transformer 100 KVA, 3 Star, Aluminium Winding, Stack type CRGO Core fitted</t>
  </si>
  <si>
    <t>11/0.433 KV Distribution Transformer 63 KVA, 3 Star, Aluminium Winding, Stack type CRGO Core fitted</t>
  </si>
  <si>
    <t>A.40</t>
  </si>
  <si>
    <t>LT Distribution box suitable for 315 KVA transformer (600 A, isolator &amp; 9 SP MCCB of 160 A)</t>
  </si>
  <si>
    <t>A.442</t>
  </si>
  <si>
    <t>11KV AB Switch 200 Amps (single break)</t>
  </si>
  <si>
    <r>
      <t>33 KV Metering Cubicle with PT ratio 33KV/</t>
    </r>
    <r>
      <rPr>
        <sz val="10"/>
        <color theme="1"/>
        <rFont val="Calibri"/>
        <family val="2"/>
      </rPr>
      <t xml:space="preserve">√3/110V and CT ratio 30/5A, 60/5A, 100/5A, 200/5A, 400/5A, </t>
    </r>
    <r>
      <rPr>
        <sz val="10"/>
        <color theme="1"/>
        <rFont val="Calibri"/>
        <family val="2"/>
        <scheme val="minor"/>
      </rPr>
      <t>0.5 accuracy class for both</t>
    </r>
  </si>
  <si>
    <t>33 kV outdoor type oil immersed CT-PT metering with PT ratio 33KV/√3/110V and CT ratio 30/5A, 60/5A, 100/5A, 200/5A, 400/5A, 0.5 accuracy class for both</t>
  </si>
  <si>
    <t>HT Electronic Trivector static meter, 3 phase 4 wire, Accuracy class 0.5S (–/110V &amp; –/5A) (DLMS complaint) with compatible GPRS modem with Meter Box</t>
  </si>
  <si>
    <t>11 KV, Outdoor type oil immersed CT-PT combined metering unit, 3 phase 4 wire (11kV/110V) [12 KV PT 50VA Burden 0.5 Accuracy class; CT 20/5A, 30/5A, 60/5A, 100/5A, 200/5A, 400/5A, 15 VA, 0.5 accuracy class]</t>
  </si>
  <si>
    <t>11 KV Metering Cubicle with PT ratio 11KV/√3/110V and CT ratio 20/5A, 30/5A, 60/5A, 100/5A, 200/5A, 400/5A, 0.5 accuracy class for both</t>
  </si>
  <si>
    <t xml:space="preserve">Single Phase Electronic Meter,two wire, 5-30 Amp. class 1.0 accuracy with Box </t>
  </si>
  <si>
    <t>Polycarbonate seal bit</t>
  </si>
  <si>
    <t>A.135</t>
  </si>
  <si>
    <t>11 KV 3 Way RMU, 2OD + 1VL, One Incomer + One Breaker + One Outgoing</t>
  </si>
  <si>
    <t>A.136</t>
  </si>
  <si>
    <t>11 KV 4 Way RMU, 2OD + 2VL, (One Incomer + Two  Breakers + One Outgoing</t>
  </si>
  <si>
    <t>A.137</t>
  </si>
  <si>
    <t>11 KV 5 Way RMU, 2OD + 3VL, (One Incomer + Three Breakers + One Outgoing)</t>
  </si>
  <si>
    <t>A.138</t>
  </si>
  <si>
    <t>11 KV 6 Way RMU, 2OD + 4VL,(One Incomer + Four Breakers + One Outgoing</t>
  </si>
  <si>
    <t>A.52</t>
  </si>
  <si>
    <t>33 KV HT XLPE Cable Single Core 630mm2 (Armoured)</t>
  </si>
  <si>
    <t>A.55</t>
  </si>
  <si>
    <t>33 KV HT XLPE Cable 3 Core 150mm2 (Armoured)</t>
  </si>
  <si>
    <t>A.54</t>
  </si>
  <si>
    <t>33 KV HT XLPE Cable 3 Core 120mm2 (Armoured)</t>
  </si>
  <si>
    <t>A.53</t>
  </si>
  <si>
    <t>33 KV HT XLPE Cable 3 Core 95mm2 (Armoured)</t>
  </si>
  <si>
    <t>A.61</t>
  </si>
  <si>
    <t>11 KV XLPE Cable single core 630mm2 (Armoured)</t>
  </si>
  <si>
    <t>A.63</t>
  </si>
  <si>
    <t>11 KV XLPE Cable 3 Core 50mm2 (Armoured)</t>
  </si>
  <si>
    <t>A.62</t>
  </si>
  <si>
    <t>11 KV XLPE Cable 3 Core 25mm2 (Armoured)</t>
  </si>
  <si>
    <t>A.91</t>
  </si>
  <si>
    <t>LT PVC Cable 3.5 Core 300mm2</t>
  </si>
  <si>
    <t>A.90</t>
  </si>
  <si>
    <t>LT PVC Cable 3.5 Core 185mm2</t>
  </si>
  <si>
    <t>A.89</t>
  </si>
  <si>
    <t>LT PVC Cable 3.5 Core 120mm2</t>
  </si>
  <si>
    <t>A.87</t>
  </si>
  <si>
    <t>LT PVC Cable 3.5 core 95 mm2</t>
  </si>
  <si>
    <t>A.232</t>
  </si>
  <si>
    <t>LT XLPE Cable 3.5 Core 300mm2 (Armoured)</t>
  </si>
  <si>
    <t>A.233</t>
  </si>
  <si>
    <t>LT XLPE Cable 3.5 Core 185mm2 (Armoured)</t>
  </si>
  <si>
    <t>Latest and Lowest rate (Haryana (DHBVN) 2016-17)</t>
  </si>
  <si>
    <t>A.234</t>
  </si>
  <si>
    <t>LT XLPE Cable 3.5 Core 120mm2 (Armoured)</t>
  </si>
  <si>
    <t>A.235</t>
  </si>
  <si>
    <t>LT XLPE Cable 3.5 core 95 mm2 (Armoured)</t>
  </si>
  <si>
    <t>A.95</t>
  </si>
  <si>
    <t>LT XLPE Cable 3.5 Core 50mm2 (Armoured)</t>
  </si>
  <si>
    <t>A.94</t>
  </si>
  <si>
    <t>A.83</t>
  </si>
  <si>
    <t>LT PVC Cable 2 Core 16 mm2</t>
  </si>
  <si>
    <t>A.84</t>
  </si>
  <si>
    <t>LT PVC Cable 2 Core 10 mm2</t>
  </si>
  <si>
    <t>A.82</t>
  </si>
  <si>
    <t>LT PVC Cable 2 Core 6 mm2</t>
  </si>
  <si>
    <t>A.81</t>
  </si>
  <si>
    <t>LT PVC Cable 2 Core 4 mm2</t>
  </si>
  <si>
    <t>A.93</t>
  </si>
  <si>
    <t>LT XLPE Cable 2 Core 10mm2 (Armoured)</t>
  </si>
  <si>
    <t>A.92</t>
  </si>
  <si>
    <t>LT XLPE Cable 2 Core 6mm2 (Armoured)</t>
  </si>
  <si>
    <t>A.236</t>
  </si>
  <si>
    <t>LT PVC Cable Single Core 300 mm2</t>
  </si>
  <si>
    <t>A.78</t>
  </si>
  <si>
    <t>LT PVC Cable Single Core 185 mm2</t>
  </si>
  <si>
    <t>A.77</t>
  </si>
  <si>
    <t>LT PVC Cable Single Core 120 mm2</t>
  </si>
  <si>
    <t>A.76</t>
  </si>
  <si>
    <t>LT PVC Cable Single Core 95 mm2</t>
  </si>
  <si>
    <t>A.75</t>
  </si>
  <si>
    <t>LT PVC Cable Single Core 50 mm2</t>
  </si>
  <si>
    <t>A.100</t>
  </si>
  <si>
    <t>LT XLPE Single Core Cable 95 mm2 (Armoured)</t>
  </si>
  <si>
    <t>A.99</t>
  </si>
  <si>
    <t>LT XLPE Single Core Cable 50 mm2 (Armoured)</t>
  </si>
  <si>
    <t>A.98</t>
  </si>
  <si>
    <t>LT XLPE Single Core Cable 25 mm2 (Armoured)</t>
  </si>
  <si>
    <t>A.443</t>
  </si>
  <si>
    <t>LT PVC Cable 3.5 Core 300mm2 (Armoured)</t>
  </si>
  <si>
    <t>Latest Rate (M/s KEI industries limited)</t>
  </si>
  <si>
    <t>A.444</t>
  </si>
  <si>
    <t>LT PVC Cable 3.5 Core 185mm2 (Armoured)</t>
  </si>
  <si>
    <t>A.445</t>
  </si>
  <si>
    <t>LT PVC Cable 3.5 Core 120mm2 (Armoured)</t>
  </si>
  <si>
    <t>A.446</t>
  </si>
  <si>
    <t>LT PVC Cable 3.5 core 95 mm2 (Armoured)</t>
  </si>
  <si>
    <t>A.60</t>
  </si>
  <si>
    <t>33 KV XLPE HT AB Cable 3 core x 185mm2+240 mm2 Bare messenger</t>
  </si>
  <si>
    <t>A.59</t>
  </si>
  <si>
    <t>33 KV XLPE HT AB Cable 3 core x 120mm2+150 mm2 Bare messenger</t>
  </si>
  <si>
    <t>A.58</t>
  </si>
  <si>
    <t>33 KV XLPE HT AB Cable 3 core x 95mm2+120 mm2 Bare messenger</t>
  </si>
  <si>
    <t>A.74</t>
  </si>
  <si>
    <t>11 KV XLPE HT AB Cable 3Cx185mm2+240mm2 bare messenger</t>
  </si>
  <si>
    <t>A.73</t>
  </si>
  <si>
    <t>11 KV XLPE HT AB Cable 3Cx185mm2+150mm2 bare messenger</t>
  </si>
  <si>
    <t>A.72</t>
  </si>
  <si>
    <t>11 KV XLPE HT AB Cable 3Cx150mm2+120mm2 bare messenger</t>
  </si>
  <si>
    <t>A.70</t>
  </si>
  <si>
    <t>11 KV XLPE HT AB Cable 3Cx70mm2+70mm2 bare messenger</t>
  </si>
  <si>
    <t>A.68</t>
  </si>
  <si>
    <t>11 KV XLPE HT AB Cable 3Cx35mm2+70mm2 bare messenger</t>
  </si>
  <si>
    <t>A.67</t>
  </si>
  <si>
    <t>11 KV XLPE HT AB Cable 3Cx35mm2+35mm2 bare messenger</t>
  </si>
  <si>
    <t>A.105</t>
  </si>
  <si>
    <t>LT XLPE AB Cable 3Cx120+70mm2</t>
  </si>
  <si>
    <t>A.103</t>
  </si>
  <si>
    <t>LT XLPE AB Cable 3Cx50+35mm2</t>
  </si>
  <si>
    <t xml:space="preserve">LT XLPE AB Cable 3Cx35+25mm2 </t>
  </si>
  <si>
    <t>A.102</t>
  </si>
  <si>
    <t>LT XLPE AB Cable 3Cx25+25mm2</t>
  </si>
  <si>
    <t>A.101</t>
  </si>
  <si>
    <t>LT XLPE AB Cable 3Cx16+25mm2</t>
  </si>
  <si>
    <t>LT XLPE AB Cable 1Cx16+25mm2 Single phase</t>
  </si>
  <si>
    <t>A.237</t>
  </si>
  <si>
    <t>LT Pre insulated mid span joint suitable 25 mm2 phases</t>
  </si>
  <si>
    <t>Nearest state rate (Odisha (FEDCO) 2014-15)</t>
  </si>
  <si>
    <t>A.238</t>
  </si>
  <si>
    <t>LT Pre insulated mid span joint suitable 35 mm2 phases</t>
  </si>
  <si>
    <t>LT Pre insulated mid span joint suitable 50 mm2 phases</t>
  </si>
  <si>
    <t>LT Pre insulated mid span joint suitable 70 mm2 Phases</t>
  </si>
  <si>
    <t>A.447</t>
  </si>
  <si>
    <t>LT Pre insulated mid span joint suitable 95 mm2 Phases</t>
  </si>
  <si>
    <t>A.448</t>
  </si>
  <si>
    <t>LT Pre insulated mid span joint suitable 120 mm2 Phases</t>
  </si>
  <si>
    <t>A.241</t>
  </si>
  <si>
    <t>Pre insulated mid span joint suitable for 25 mm2 Neutral messenger</t>
  </si>
  <si>
    <t>A.242</t>
  </si>
  <si>
    <t>Pre insulated mid span joint suitable for 35 mm2 Neutral messenger</t>
  </si>
  <si>
    <t>A.243</t>
  </si>
  <si>
    <t>Pre insulated mid span joint suitable for 50 mm2 Neutral messenger</t>
  </si>
  <si>
    <t>Cost Data Book 2014-15 and Dhanbad rate are comparable</t>
  </si>
  <si>
    <t xml:space="preserve">  Suspension clamp with eyehook</t>
  </si>
  <si>
    <t>Latest rate (M/s Sicame India, New Delhi)</t>
  </si>
  <si>
    <t>A.253</t>
  </si>
  <si>
    <t xml:space="preserve"> Suspension Clamp Suitable for 95 -150 Sqmm Bare Messenger (Including 1 No. Suspension Clamp with Bracket + 1.5 Mtr SS Strap + 2 Nos. SS buckle)  </t>
  </si>
  <si>
    <t>Dead end clamp with eyehook</t>
  </si>
  <si>
    <t>A.259</t>
  </si>
  <si>
    <t xml:space="preserve"> Dead End Clamp Suitable for 95 -150 Sqmm Bare Messenger (Including 1 No. Dead End Bracket + 1 No. Dead End + 1.5 Mtr SS Strap + 2 Nos. SS buckle)  </t>
  </si>
  <si>
    <t>Aluminium binding wire 5 sq. mm</t>
  </si>
  <si>
    <t>GI Wire No. 6/8/10</t>
  </si>
  <si>
    <t>Jointing sleeves (Alumnium) suitable for 34/55 sq.mm</t>
  </si>
  <si>
    <t>Cost Data Book 2014-15 and Hazaribagh rate, both are comparable</t>
  </si>
  <si>
    <t>Transformer oil (EHV Grade)</t>
  </si>
  <si>
    <t>KL</t>
  </si>
  <si>
    <t>A.106</t>
  </si>
  <si>
    <t>Silica Gel</t>
  </si>
  <si>
    <t>33 kv Pole Top Bracket 50x10 mm flat[GALVANIZED]</t>
  </si>
  <si>
    <t>33 KV Pole top bracket [NON GALVANIZED]</t>
  </si>
  <si>
    <t>11 KV Pole top bracket 50x8 mm (F- type)[NON GALVANIZED]</t>
  </si>
  <si>
    <t>33kv V Cross Arm for (100x50x6 mm)[GALVANIZED]</t>
  </si>
  <si>
    <t>33 KV V cross arm (100x 50x 6 mm)[NON GALVANIZED]</t>
  </si>
  <si>
    <t>11kv V Cross Arm (75x40x6 mm), 7.14 Kg per meter[GALVANIZED]</t>
  </si>
  <si>
    <t>11 KV "V" cross arm (75 x 40 x6 mm)[NON GALVANIZED]</t>
  </si>
  <si>
    <t>MS Angle (65x65x6 mm) for guarding of 33 KV, 11 KV, L.T line[NON GALVANIZED]</t>
  </si>
  <si>
    <t>Average of 4 area boards rates x per unit weight</t>
  </si>
  <si>
    <t>Top Channel Set ( 100x50x6 mm) 9.56 kg per meter[GALVANIZED]</t>
  </si>
  <si>
    <t>A.269</t>
  </si>
  <si>
    <t>Top Channel Set ( 100x50x6 mm) 9.56 kg per meter[NON GALVANIZED]</t>
  </si>
  <si>
    <t>MS Channel for AB Switch (100x50x6 mm) [GALVANIZED]</t>
  </si>
  <si>
    <t>MS Channel  AB switch(100x50x6 mm) [NON GALVANIZED]</t>
  </si>
  <si>
    <t>33kv D P Channel ( 100x50x6 mm) 1.3 Meter Long [ GALVANIZED]</t>
  </si>
  <si>
    <t>33 KV D.P Channel  (100x50x6 mm)1.3 Meter [NON GALVANIZED]</t>
  </si>
  <si>
    <t>11kv D P Channel ( 75x40x6 mm) [GALVANIZED]</t>
  </si>
  <si>
    <t>11KV D.P Channel (75x40x6mm)[NON GALVANIZED]</t>
  </si>
  <si>
    <t>Transformer base Channel (100x50x6 mm)[GALVANIZED]</t>
  </si>
  <si>
    <t>A.274</t>
  </si>
  <si>
    <t>Transformer base Channel (100x50x6 mm) [NON GALVANIZED]</t>
  </si>
  <si>
    <t>Transformer belting (50x50x6 mm) &amp; belting support (40x40x6 mm) [NON GALVANIZED]</t>
  </si>
  <si>
    <t>Back clamp ( 50x6 mm) for 60kg Rail Pole[NON GALVANIZED]</t>
  </si>
  <si>
    <t>Back clamp ( 50x6 mm) for9 mtr 400kg PSC Pole[GALVANIZED]</t>
  </si>
  <si>
    <t>A.278</t>
  </si>
  <si>
    <t>Back clamp ( 50x6 mm) for 9mtr 400kg PSC Pole[NON GALVANIZED]</t>
  </si>
  <si>
    <t>A.279</t>
  </si>
  <si>
    <t>Back Clamp ( 50x6 mm) for 8 mtr 200kg PSC pole[GALVANIZED]</t>
  </si>
  <si>
    <t>A.280</t>
  </si>
  <si>
    <t>Back Clamp ( 50x6 mm) for 8 mtr 200kg PSC pole[NON GALVANIZED]</t>
  </si>
  <si>
    <t>A.281</t>
  </si>
  <si>
    <t>Back clamp( 50x6 mm) for Tublar Pole[GALVANIZED]</t>
  </si>
  <si>
    <t>A.282</t>
  </si>
  <si>
    <t>Back clamp( 50x6 mm) for Tublar Pole[ NON GALVANIZED]</t>
  </si>
  <si>
    <t>A.284</t>
  </si>
  <si>
    <t>Support Clamp for V Cross Arm for 60kg Rail Pole[ NON GALVANIZED]</t>
  </si>
  <si>
    <t>Support Clamp for V Cross Arm for 9 mtr 400kg PSC pole[GALVANIZED]</t>
  </si>
  <si>
    <t>A.286</t>
  </si>
  <si>
    <t>Support Clamp for V Cross Arm for 9 mtr 400kg PSC pole[ NON GALVANIZED]</t>
  </si>
  <si>
    <t>A.287</t>
  </si>
  <si>
    <t>Support Clamp for V Cross Arm for 8 mtr 200kg PSC pole[GALVANIZED]</t>
  </si>
  <si>
    <t>A.288</t>
  </si>
  <si>
    <t>Support Clamp for V Cross Arm for 8 mtr 200kg PSC pole[ NON GALVANIZED]</t>
  </si>
  <si>
    <t>A.289</t>
  </si>
  <si>
    <t>Support Clamp for V Cross Arm for Tublar Pole[GALVANIZED]</t>
  </si>
  <si>
    <t>A.290</t>
  </si>
  <si>
    <t>Head Office Latest Procurement Rate (June 2016)</t>
  </si>
  <si>
    <t>A.291</t>
  </si>
  <si>
    <t>Back Clamp (50x6 mm)Jointing/ Packing piece for 60kg Rail Pole[ NON GALVANIZED]</t>
  </si>
  <si>
    <t>A.292</t>
  </si>
  <si>
    <t>Back clamp (50x6 mm) Jointing/ packing piece for 9 mtr 400kg PSC pole[GALVANIZED]</t>
  </si>
  <si>
    <t>A.293</t>
  </si>
  <si>
    <t>Back clamp (50x6 mm) Jointing/ packing piece for 9 mtr 400kg PSC pole[ NON GALVANIZED]</t>
  </si>
  <si>
    <t>A.294</t>
  </si>
  <si>
    <t>Back clamp(50x6 mm) Jointing/ packing piece for  8 mtr 200kg PSC Pole  [GALVANIZED]</t>
  </si>
  <si>
    <t>A.295</t>
  </si>
  <si>
    <t>Back clamp(50x6 mm) Jointing/ packing piece for  8 mtr 200kg PSC Pole  [ NON GALVANIZED]</t>
  </si>
  <si>
    <t>A.296</t>
  </si>
  <si>
    <t>Back clamp(50x6 mm) Jointing/ packing piece for  Tublar Pole  [GALVANIZED]</t>
  </si>
  <si>
    <t>A.297</t>
  </si>
  <si>
    <t>Back clamp(50x6 mm) Jointing/ packing piece for  Tublar Pole[ NON GALVANIZED]</t>
  </si>
  <si>
    <t>A.298</t>
  </si>
  <si>
    <t>Clamp for Top Channel 50x6 mm flat for 60kg Rail Pole[GALVANIZED]</t>
  </si>
  <si>
    <t>A.299</t>
  </si>
  <si>
    <t>Clamp for Top Channel 50x6 mm flat for 60kg Rail Pole[ NON GALVANIZED]</t>
  </si>
  <si>
    <t>Clamp for Top Channel 50x6 mm flat for 9 mtr 400kg PSC Pole[GALVANIZED]</t>
  </si>
  <si>
    <t>A.301</t>
  </si>
  <si>
    <t>Clamp for Top Channel 50x6 mm flat for 9 mtr 400kg PSC Pole[ NON GALVANIZED]</t>
  </si>
  <si>
    <t>A.302</t>
  </si>
  <si>
    <t>Clamp for Top Channel 50x6 mm flat for 8 mtr 200kg PSC Pole[GALVANIZED]</t>
  </si>
  <si>
    <t>A.303</t>
  </si>
  <si>
    <t>Clamp for Top Channel 50x6 mm flat for 8 mtr 200kg PSC Pole[ NON GALVANIZED]</t>
  </si>
  <si>
    <t>A.304</t>
  </si>
  <si>
    <t>Clamp for Top Channel 50x6 mm flat for Tublar  Pole[GALVANIZED]</t>
  </si>
  <si>
    <t>A.305</t>
  </si>
  <si>
    <t>Clamp for Top Channel 50x6 mm flat for Tublar  Pole[ NON GALVANIZED]</t>
  </si>
  <si>
    <t>A.306</t>
  </si>
  <si>
    <t>Clamp for AB Switch Base Channel(50x6 mm) ( 1 set for 2 Pair ) for 60kg Rail Pole[GALVANIZED]</t>
  </si>
  <si>
    <t>A.307</t>
  </si>
  <si>
    <t>Clamp for AB Switch Base Channel(50x6 mm) ( 1 set for 2 Pair ) for 60kg Rail Pole[ NON GALVANIZED]</t>
  </si>
  <si>
    <t>Clamp for AB Switch Base Channel (50x6 mm)( 1 set for 2 Pair ) for 9 mtr 400kg PSC Pole[ GALVANIZED]</t>
  </si>
  <si>
    <t>A.309</t>
  </si>
  <si>
    <t>Clamp for AB Switch Base Channel (50x6 mm)( 1 set for 2 Pair ) for 9 mtr 400kg PSC Pole[ NON GALVANIZED]</t>
  </si>
  <si>
    <t>A.310</t>
  </si>
  <si>
    <t>Clamp for AB Switch Base Channel (50x6 mm)( 1 set for 2 Pair ) for 8 mtr 200kg PSC Pole[ GALVANIZED]</t>
  </si>
  <si>
    <t>A.311</t>
  </si>
  <si>
    <t>Clamp for AB Switch Base Channel (50x6 mm)( 1 set for 2 Pair ) for 8 mtr 200kg PSC Pole[ NON GALVANIZED]</t>
  </si>
  <si>
    <t>A.312</t>
  </si>
  <si>
    <t>Clamp for AB Switch Base Channel (50x6 mm)( 1 set for 2 Pair ) for tublar Pole   [GALVANIZED]</t>
  </si>
  <si>
    <t>A.313</t>
  </si>
  <si>
    <t>Clamp for AB Switch Base Channel (50x6 mm)( 1 set for 2 Pair ) for tublar Pole [NON GALVANIZED]</t>
  </si>
  <si>
    <t>MS Channel (75x40x6 mm)for supporting H.G fuse &amp; L.A [ NON GALVANIZED]</t>
  </si>
  <si>
    <t>Clamp (50 x 6 mm) for Transformer base channel [NON GALVANIZED]</t>
  </si>
  <si>
    <t>Clamp (50 x 6 mm) for Transformer belting [NON  GALVANIZED]</t>
  </si>
  <si>
    <t>Clamp (50 x 6 mm) for LT bus &amp; H.G fuse set [GALVANIZED]</t>
  </si>
  <si>
    <t>Clamp (50 x 6 mm) for LT bus &amp; H.G fuse set [NON GALVANIZED]</t>
  </si>
  <si>
    <t>D P Channel Support Clamp ( 50x6 mm) feet (1 pair = 1 set) for 60kg Rail Pole[GALVANIZED]</t>
  </si>
  <si>
    <t>D.P Channel support clamp (50x6 mm)) for 60kg Rail Pole  [NON GALVANIZED]</t>
  </si>
  <si>
    <t>D P Channel Support Clamp ( 50x6 mm) feet ( 1 pair = 1 set ) for 9 mtr 400kg PSC Pole[GALVANIZED]</t>
  </si>
  <si>
    <t>A.319</t>
  </si>
  <si>
    <t>D.P Channel support clamp (50x6 mm)for 9 mtr 400kg PSC Pole[NON GALVANIZED]</t>
  </si>
  <si>
    <t>A.320</t>
  </si>
  <si>
    <t>D P Channel Support Clamp ( 50x6 mm) feet ( 1 pair = 1 set ) for 8 mtr 200kg PSC Pole[GALVANIZED]</t>
  </si>
  <si>
    <t>A.321</t>
  </si>
  <si>
    <t>D.P Channel support clamp (50x6 mm)for 8 mtr 200kg PSC Pole [NONGALVANIZED]</t>
  </si>
  <si>
    <t>A.322</t>
  </si>
  <si>
    <t>D P Channel Support Clamp ( 50x6 mm) feet ( 1 pair = 1 set ) for Tublar Pole[GALVANIZED]</t>
  </si>
  <si>
    <t>A.323</t>
  </si>
  <si>
    <t>D P Channel Support Clamp ( 50x6 mm) feet ( 1 pair = 1 set ) for Tublar Pole [NON GALVANIZED]</t>
  </si>
  <si>
    <t>D P Channel Clamp ( 40x6 mm ) flat for 60 kg Rail Pole[GALVANIZED]</t>
  </si>
  <si>
    <t>A.325</t>
  </si>
  <si>
    <t>D P Channel Clamp ( 40x6 mm ) flat for 60 kg Rail Pole[ NON GALVANIZED]</t>
  </si>
  <si>
    <t>D P Channel Clamp ( 40x6 mm ) flat 9 mtr 400kg PSC Pole[GALVANIZED]</t>
  </si>
  <si>
    <t>A.327</t>
  </si>
  <si>
    <t>D P Channel Clamp ( 40x6 mm ) flat 9 mtr 400kg PSC Pole[  NON GALVANIZED]</t>
  </si>
  <si>
    <t>A.328</t>
  </si>
  <si>
    <t>D P Channel Clamp ( 40x6 mm ) flat 8 mtr 200kg PSC Pole[GALVANIZED]</t>
  </si>
  <si>
    <t>D P Channel Clamp ( 40x6 mm ) flat 8 mtr 200kg PSC Pole[ NON GALVANIZED]</t>
  </si>
  <si>
    <t>A.329</t>
  </si>
  <si>
    <t>D P Channel Clamp ( 40x6 mm ) flat for Tublar Pole[GALVANIZED]</t>
  </si>
  <si>
    <t>A.330</t>
  </si>
  <si>
    <t>D P Channel Clamp ( 40x6 mm ) flat for Tublar Pole[ NON GALVANIZED]</t>
  </si>
  <si>
    <t>A.331</t>
  </si>
  <si>
    <t>33kv Cross Bracing for D P Structure [GALVANIZED]</t>
  </si>
  <si>
    <t>33 KV Cross bracing for DP Channel[ NON GALVANIZED]</t>
  </si>
  <si>
    <t>A.332</t>
  </si>
  <si>
    <t>11 KV Cross bracing  for D P Structure[GALVANIZED]</t>
  </si>
  <si>
    <t>11 KV Cross bracing  for D P Structure[NON GALVANIZED]</t>
  </si>
  <si>
    <t>A.169</t>
  </si>
  <si>
    <t>Clamp for Cross Bracing Set of 2 pair for 60kg Rail Pole[GALVANIZED]</t>
  </si>
  <si>
    <t>Clamp for cross bracing Set of 2 pair for 60kg Rail Pole[NON GALVANIZED]</t>
  </si>
  <si>
    <t>Average of 4 area boards pair rates</t>
  </si>
  <si>
    <t>A.333</t>
  </si>
  <si>
    <t>Clamp for Cross Bracing Set of 2 pair for 9 mtr 400kg PSC Pole[GALVANIZED]</t>
  </si>
  <si>
    <t>A.334</t>
  </si>
  <si>
    <t>Clamp for Cross Bracing Set of 2 pair for 9 mtr 400kg PSC Pole[ NON GALVANIZED]</t>
  </si>
  <si>
    <t>A.176</t>
  </si>
  <si>
    <t>Clamp for Cross bracing Set of 2 Pair for 8 mtr 200kg PSC pole[GALVANIZED]</t>
  </si>
  <si>
    <t>Clamp for Cross bracing Set of 2 Pair for 8 mtr 200kg PSC pole NON [GALVANIZED]</t>
  </si>
  <si>
    <t>A.335</t>
  </si>
  <si>
    <t>Clamp for Cross Bracing Set of 2 pair for Tublar Pole[GALVANIZED]</t>
  </si>
  <si>
    <t>A.336</t>
  </si>
  <si>
    <t>Clamp for Cross Bracing Set of 2 pair for Tublar Pole[ NON GALVANIZED]</t>
  </si>
  <si>
    <t>A.337</t>
  </si>
  <si>
    <t>Support clamp for Cross Bracing for 60kg Rail Pole[GALVANIZED]</t>
  </si>
  <si>
    <t>A.338</t>
  </si>
  <si>
    <t>Support clamp for Cross Bracing for 60kg Rail Pole[ NON GALVANIZED]</t>
  </si>
  <si>
    <t>A.339</t>
  </si>
  <si>
    <t>Support clamp for Cross Bracing for 9 mtr 400kg PSC Pole[GALVANIZED]</t>
  </si>
  <si>
    <t>A.340</t>
  </si>
  <si>
    <t>Support clamp for Cross Bracing for 9 mtr 400kg PSC Pole[ NON GALVANIZED]</t>
  </si>
  <si>
    <t>A.341</t>
  </si>
  <si>
    <t>Support clamp for Cross Bracing for 8 mtr 200kg PSC Pole[GALVANIZED]</t>
  </si>
  <si>
    <t>A.342</t>
  </si>
  <si>
    <t>Support clamp for Cross Bracing for 8 mtr 200kg PSC Pole[NON GALVANIZED]</t>
  </si>
  <si>
    <t>A.343</t>
  </si>
  <si>
    <t>Support clamp for Cross Bracing for  Tublar Pole[GALVANIZED]</t>
  </si>
  <si>
    <t>A.344</t>
  </si>
  <si>
    <t>Support clamp for Cross Bracing for  Tublar Pole[NON GALVANIZED]</t>
  </si>
  <si>
    <t>Angle/side Stay Clamp (50x6 mm) for 60kg Rail Pole [GALVANIZED]</t>
  </si>
  <si>
    <t>Angle /Side Stay clamp (50x6 mm) for 60kg Rail Pole [NON GALVANIZED]</t>
  </si>
  <si>
    <t>Angle/side Stay Clamp ( 50x10 mm) for 9 mtr 400kg PSC Pole[GALVANIZED]</t>
  </si>
  <si>
    <t>Angle/side  Stay Clamp ( 50x10 mm) for 9 mtr 400kg PSC Pole[ NON GALVANIZED]</t>
  </si>
  <si>
    <t>A.348</t>
  </si>
  <si>
    <t>Angle/side  Stay Clamp ( 50x6 mm) for 8 mtr 200kg PSC Pole[ NON GALVANIZED]</t>
  </si>
  <si>
    <t>A.349</t>
  </si>
  <si>
    <t>Angle/side Stay Clamp ( 50x6 mm) for Tublar Pole[GALVANIZED]</t>
  </si>
  <si>
    <t>Angle/side  stay clamp (50 x 6 mm)for Tublar Pole[ NON GALVANIZED]</t>
  </si>
  <si>
    <t>MS Flat (75x40x6 mm)[ NON GALVANIZED]</t>
  </si>
  <si>
    <t>Earth clamp for earthwire (50 x 6 mm)[ NON GALVANIZED]</t>
  </si>
  <si>
    <t>MS Angle for L T distribution bus (35 x 35 x6 mm)[ NON GALVANIZED]</t>
  </si>
  <si>
    <t>LT Angle bracket (35 x 35 x 6 mm)[ NON GALVANIZED]</t>
  </si>
  <si>
    <t>A.354</t>
  </si>
  <si>
    <t>MS Flat 35X6 mm (D-Ring) for 10 connections[GALVANIZED]</t>
  </si>
  <si>
    <t>A.355</t>
  </si>
  <si>
    <t>MS Flat 35X6 mm (D-Ring) for 10 connections[ NON GALVANIZED]</t>
  </si>
  <si>
    <t>LT Back clamp (50 x 6 mm) for LT angle[ NON GALVANIZED]</t>
  </si>
  <si>
    <t>"U" clamp (40 x 6 mm)[ NON GALVANIZED]</t>
  </si>
  <si>
    <t>A.30</t>
  </si>
  <si>
    <t>C-wedge Connector for 0.2sq Panther Conductor (Nominal Aluminum Area 200mm2)</t>
  </si>
  <si>
    <t>A.1</t>
  </si>
  <si>
    <t>GI Pipe 6" heavy duty (C-Class)</t>
  </si>
  <si>
    <t>Latest rate (Vijay Sales Corporation (for jindal pipes) 2016)</t>
  </si>
  <si>
    <t>GI Pipe 6" light duty (C-Class)</t>
  </si>
  <si>
    <t>A.35</t>
  </si>
  <si>
    <t>GI Pipe 4" Light (A -Class)</t>
  </si>
  <si>
    <t>Latest &amp; Lowest rate (M/s Raychem RPG)</t>
  </si>
  <si>
    <t>A.359</t>
  </si>
  <si>
    <t>33 KV 3-core XLPE UG cable Heat shrinkable straight through Jointing kit suitable for 240mm2</t>
  </si>
  <si>
    <t>A.394</t>
  </si>
  <si>
    <t>33 KV 3-core heat shrikable straight through Cable termination  kit for 150-95 mm2</t>
  </si>
  <si>
    <t>A.395</t>
  </si>
  <si>
    <t>33 KV 3-core heat shrikable straight through Cable termination  kit for 70-35 mm2</t>
  </si>
  <si>
    <t>A.360</t>
  </si>
  <si>
    <t>33 KV 3-core heat shrinkable Out door type Cable termination kit for 240 mm2</t>
  </si>
  <si>
    <t>A.398</t>
  </si>
  <si>
    <t>33 KV 3-core heat shrinkable Out door type Cable termination kit for 120 mm2</t>
  </si>
  <si>
    <t>A.399</t>
  </si>
  <si>
    <t>33 KV 3-core heat shrikable Out door Cable termination  kit for 95-70 mm2</t>
  </si>
  <si>
    <t>A.400</t>
  </si>
  <si>
    <t>33 KV 3-core heat shrikableOut door Cable termination  kit for 50-25 mm2</t>
  </si>
  <si>
    <t>A.361</t>
  </si>
  <si>
    <t>33 KV 3-core heat shrikable Indoor Cable termination  kit for 240 mm2</t>
  </si>
  <si>
    <t>A.403</t>
  </si>
  <si>
    <t>33 KV 3-core heat shrikable Indoor Cable termination  kit for 120 mm2</t>
  </si>
  <si>
    <t>A.404</t>
  </si>
  <si>
    <t>33 KV 3-core heat shrikable Indoor Cable termination  kit for 95-70 mm2</t>
  </si>
  <si>
    <t>A.405</t>
  </si>
  <si>
    <t>33 KV 3-core heat shrikable Indoor Cable termination  kit for 50-25 mm2</t>
  </si>
  <si>
    <t>A.407</t>
  </si>
  <si>
    <t>11 KV  3-core heat shrinkableStraight through Cable Jointing kit 240 mm2</t>
  </si>
  <si>
    <t>A.409</t>
  </si>
  <si>
    <t>11 KV  3-core heat shrinkable Straight through Cable Jointing kit 95-150 mm2</t>
  </si>
  <si>
    <t>A.410</t>
  </si>
  <si>
    <t>11 KV  3-core heat shrinkable Straight through Cable Jointing kit 70-35 mm2</t>
  </si>
  <si>
    <t>A.411</t>
  </si>
  <si>
    <t>11 KV  3-core heat shrinkable Straight through Cable Jointing kit 35-16 mm2</t>
  </si>
  <si>
    <t>11 KV 3-core heat shrinkable Indoor Cable Jointing kit 120-185 mm2</t>
  </si>
  <si>
    <t>A.416</t>
  </si>
  <si>
    <t>11 KV 3-core heat shrinkable Indoor Cable Jointing kit 35-16 mm2</t>
  </si>
  <si>
    <t>11 KV  3-core heat shrinkableOutdoor Cable Jointing kit 120-185 mm2</t>
  </si>
  <si>
    <t>A.422</t>
  </si>
  <si>
    <t>11 KV 3-core heat shrinkable Outdoor Cable Jointing kit 35-16 mm2</t>
  </si>
  <si>
    <t>A.423</t>
  </si>
  <si>
    <t>LT XLPE  3-3.5-4 core heat shrinkable Straight through Cable jointing kit  400 mm2</t>
  </si>
  <si>
    <t>A.424</t>
  </si>
  <si>
    <t>LT XLPE  3-3.5-4 core heat shrinkable Straight through Cable jointing kit  300-185 mm2</t>
  </si>
  <si>
    <t>A.425</t>
  </si>
  <si>
    <t>LT XLPE  3-3.5-4 core heat shrinkable Straight through Cable jointing kit  150-70 mm2</t>
  </si>
  <si>
    <t>A.426</t>
  </si>
  <si>
    <t>LT XLPE  3-3.5-4 core heat shrinkable Straight through Cable jointing kit  50-25 mm2</t>
  </si>
  <si>
    <t>A.427</t>
  </si>
  <si>
    <t>LT XLPE  3-3.5-4 core heat shrinkable Straight through Cable jointing kit  4-16 mm2</t>
  </si>
  <si>
    <t>A.428</t>
  </si>
  <si>
    <t>LT XLPE  3-3.5-4 core heat shrinkable Indoor-Outdoor Cable jointing kit  400 mm2</t>
  </si>
  <si>
    <t>A.429</t>
  </si>
  <si>
    <t>LT XLPE  3-3.5-4 core heat shrinkable Indoor-Outdoor Cable jointing kit 185- 300 mm2</t>
  </si>
  <si>
    <t>A.430</t>
  </si>
  <si>
    <t>LT XLPE  3-3.5-4 core heat shrinkable Indoor-Outdoor Cable jointing kit  70-150 mm2</t>
  </si>
  <si>
    <t>A.431</t>
  </si>
  <si>
    <t>LT XLPE  3-3.5-4 core heat shrinkable Indoor-Outdoor Cable jointing kit  25-50 mm2</t>
  </si>
  <si>
    <t>A.432</t>
  </si>
  <si>
    <t>LT XLPE  3-3.5-4 core heat shrinkable Indoor-Outdoor Cable jointing kit  4-16 mm2</t>
  </si>
  <si>
    <t>Male female contact of 33 KV AB Switch 600-630 Amp</t>
  </si>
  <si>
    <t>A.362</t>
  </si>
  <si>
    <t>Male female contact of 33 KV AB Switch 400 Amp</t>
  </si>
  <si>
    <t>A.363</t>
  </si>
  <si>
    <t>Male female contact of 33 KV AB Switch 200 Amp</t>
  </si>
  <si>
    <t>A.364</t>
  </si>
  <si>
    <t>Male female contact of 11 KV AB Switch 800 Amp</t>
  </si>
  <si>
    <t>Male female contact of 11 KV AB Switch 400 Amp</t>
  </si>
  <si>
    <t>Male female contact of 11 KV AB Switch 200 Amp</t>
  </si>
  <si>
    <t>One rate available (Giridih)</t>
  </si>
  <si>
    <t>A.127</t>
  </si>
  <si>
    <t>Fault Locator Machine for UG cables  (FLC) without vehicle</t>
  </si>
  <si>
    <t>Latest rate (M/s Electrocom Systems, Pune)</t>
  </si>
  <si>
    <t>A.129</t>
  </si>
  <si>
    <t>Transformer Oil Testing Kit (220/230 AC )</t>
  </si>
  <si>
    <t>A.366</t>
  </si>
  <si>
    <t>Transformer Oil Filter Machine (500 GPH)</t>
  </si>
  <si>
    <t>A.130</t>
  </si>
  <si>
    <t>Accuchek meter High accuracy (0.2% in director mode / 0.5% in clamp on mode) for kWh, kVArh and kVAh Maximum current up to 6A in direct mode and up to 500A in clamp on mode.    
LT+ : To test LT whole current single phase meters up to 60A</t>
  </si>
  <si>
    <t>Latest rate (M/s Secure Meters)</t>
  </si>
  <si>
    <t>A.184</t>
  </si>
  <si>
    <t>Accuchek meter High accuracy (0.2% in director mode / 0.5% in clamp on mode) for kWh, kVArh and kVAh Maximum current up to 6A in direct mode and up to 500A in clamp on mode.    
LT+ : To test LT 3 phase &amp; CT operated energy meters</t>
  </si>
  <si>
    <t>A.185</t>
  </si>
  <si>
    <t>Accuchek meter High accuracy (0.2% in director mode / 0.5% in clamp on mode) for kWh for HT+ : To test meters suitable for HT, 3 phase, 3 wire and 4 wire systems</t>
  </si>
  <si>
    <t>A.131</t>
  </si>
  <si>
    <t>EH-II Chain Electric Hoist (Capacity - 1 Ton, Standard Lift - 3 Mtr) with 1.5 HP motor</t>
  </si>
  <si>
    <t>Electronic weighing Machine with 1.2x1.2 mtr. Platform, suitable for weighing limit upto 2 tons</t>
  </si>
  <si>
    <t>A.367</t>
  </si>
  <si>
    <t>Electronic weighing Machine with 2x2 mtr. Platform, suitable for weighing limit upto 4 tons</t>
  </si>
  <si>
    <t>Latest rate (M/s Libra Scale industries, Ranchi)</t>
  </si>
  <si>
    <t>A.112</t>
  </si>
  <si>
    <t>Earth tester 200 Amp. 2000 Ohm (Digital)</t>
  </si>
  <si>
    <t>A.114</t>
  </si>
  <si>
    <t>500 V Megger</t>
  </si>
  <si>
    <t>A.113</t>
  </si>
  <si>
    <t>2.5 / 5 KV Megger (Mannual)</t>
  </si>
  <si>
    <t>2.5 kv motorised with range up to 20000 mega ohms</t>
  </si>
  <si>
    <t>Latest rate (Internet) (CIE Make Meggar)</t>
  </si>
  <si>
    <t>A.456</t>
  </si>
  <si>
    <t>2.5 kv motorised cum manual  with range up to 20000 mega ohms</t>
  </si>
  <si>
    <t>A.457</t>
  </si>
  <si>
    <t>5 kv motorised with range up to 100000 mega ohms</t>
  </si>
  <si>
    <t>A.458</t>
  </si>
  <si>
    <t>5 kv motorised cum manual with range up to 100000 mega ohms</t>
  </si>
  <si>
    <t>A.128</t>
  </si>
  <si>
    <t>Digital Clamp meter (Meco 3150)</t>
  </si>
  <si>
    <t>A.115</t>
  </si>
  <si>
    <t>Digital Tong tester (1000 Amp., 500 V) With associated accessories.</t>
  </si>
  <si>
    <t>A.116</t>
  </si>
  <si>
    <t>Digital Multi meter (10 Amp along with mA range)</t>
  </si>
  <si>
    <t>A.117</t>
  </si>
  <si>
    <t>Dicharge rod for 33 KV / 11KV</t>
  </si>
  <si>
    <t>A.368</t>
  </si>
  <si>
    <t xml:space="preserve">Screw Driver set-840  </t>
  </si>
  <si>
    <t>A.369</t>
  </si>
  <si>
    <t xml:space="preserve">Screw Driver set-935  </t>
  </si>
  <si>
    <t>A.370</t>
  </si>
  <si>
    <t>Neon Tester 813</t>
  </si>
  <si>
    <t>A.371</t>
  </si>
  <si>
    <t>Hammer 200 gm</t>
  </si>
  <si>
    <t>A.372</t>
  </si>
  <si>
    <t>Hack Saw frame</t>
  </si>
  <si>
    <t>A.373</t>
  </si>
  <si>
    <t>Hack saw blades</t>
  </si>
  <si>
    <t>A.374</t>
  </si>
  <si>
    <t>Adjustable spanner</t>
  </si>
  <si>
    <t>A.375</t>
  </si>
  <si>
    <t>wire Stripper</t>
  </si>
  <si>
    <t>A.376</t>
  </si>
  <si>
    <t>Combinational Plier</t>
  </si>
  <si>
    <t>A.377</t>
  </si>
  <si>
    <t>Side Cutting Plier</t>
  </si>
  <si>
    <t>A.378</t>
  </si>
  <si>
    <t>Measuring tape</t>
  </si>
  <si>
    <t>A.379</t>
  </si>
  <si>
    <t>Hand Drill Machine</t>
  </si>
  <si>
    <t>A.380</t>
  </si>
  <si>
    <t>Punch</t>
  </si>
  <si>
    <t>A.381</t>
  </si>
  <si>
    <t>Knife</t>
  </si>
  <si>
    <t>A.382</t>
  </si>
  <si>
    <t>Spanner Set</t>
  </si>
  <si>
    <t>A.383</t>
  </si>
  <si>
    <t>Tool Bag</t>
  </si>
  <si>
    <t>A.384</t>
  </si>
  <si>
    <t>Nose Plier</t>
  </si>
  <si>
    <t>A.385</t>
  </si>
  <si>
    <t>Drill Bit 3/10 Concrete (JK)</t>
  </si>
  <si>
    <t>A.449</t>
  </si>
  <si>
    <t>Fire Extinguisher (CO2 type 4.5 Kg for control room)</t>
  </si>
  <si>
    <t>A.450</t>
  </si>
  <si>
    <t>Fire Extinguisher (CO2 type 10 KG)</t>
  </si>
  <si>
    <t>A.451</t>
  </si>
  <si>
    <t>Fire Extinguisher (CO2 type 22.5 KG)</t>
  </si>
  <si>
    <t>A.452</t>
  </si>
  <si>
    <t>Fire Extinguisher Dry Chemical Type (5 Kg)</t>
  </si>
  <si>
    <t>A.453</t>
  </si>
  <si>
    <t>Fire Extinguisher Dry Chemical Type (10 kg)</t>
  </si>
  <si>
    <t>A.454</t>
  </si>
  <si>
    <t>Gas Pressure CTC fire extinguisher</t>
  </si>
  <si>
    <t>A.455</t>
  </si>
  <si>
    <t>Fir Buckets (Capacity 10 Ltrs.)</t>
  </si>
  <si>
    <t>A.386</t>
  </si>
  <si>
    <t>Safety Helmet - PVC</t>
  </si>
  <si>
    <t>A.387</t>
  </si>
  <si>
    <t>Safety Shoes (Electrical Safety)</t>
  </si>
  <si>
    <t>A.388</t>
  </si>
  <si>
    <t xml:space="preserve">Rubber hand Gloves(1.1KV) Commander </t>
  </si>
  <si>
    <t>Nearest state and lowest rate (Odisha (FEDCO) 2014-15)</t>
  </si>
  <si>
    <t>A.389</t>
  </si>
  <si>
    <t xml:space="preserve">Safety double adjustable belts(Karam) </t>
  </si>
  <si>
    <t>A.133</t>
  </si>
  <si>
    <t>Safety Items as per the requirement of electrical inspector as under First Aid Box, Shock treatment chart, Rubber matts 8 mm thick, 4 Fire buckets with sand &amp; M.S. Hooks / stand, Helmet, Hand gloves and, Fire extinguisher (2 Nos)</t>
  </si>
  <si>
    <t>Civil Works
Plinth / Foundation preparation (including per unit labor and material cost but excluding transportation cost)</t>
  </si>
  <si>
    <t>Cement</t>
  </si>
  <si>
    <t>Bag</t>
  </si>
  <si>
    <t>A.147</t>
  </si>
  <si>
    <t>Earth work</t>
  </si>
  <si>
    <t>Building Construction Department (Govt. of Jharkhand) w.e.f. 1st April 2015</t>
  </si>
  <si>
    <t>A.148</t>
  </si>
  <si>
    <t>A.149</t>
  </si>
  <si>
    <t>A.150</t>
  </si>
  <si>
    <t>Providing P.C.C.M -150 in nominal mix(1:2:4) in foundation with approved quality of stone chips 20mm to 6mm size graded and clean coarse sand of F.M 2.5 to 3 including screening shuttering mixing cement concrete in mixer and placing in position vibrating,striking,curing,taxes and royalty all complete as perbuilding specification and direction of engineer in charge</t>
  </si>
  <si>
    <t>A.390</t>
  </si>
  <si>
    <t>Providing P.C.C.M -150 in nominal mix(1:3:6) in foundation with approved quality of stone chips 20mm to 6mm size graded and clean coarse sand of F.M 2.5 to 3 including screening shuttering mixing cement concrete in mixer and placing in position vibrating,striking,curing,taxes and royalty all complete as perbuilding specification and direction of engineer in charge</t>
  </si>
  <si>
    <t>A.391</t>
  </si>
  <si>
    <t>Providing P.C.C.M -150 in nominal mix(1:4:8) in foundation with approved quality of stone chips 20mm to 6mm size graded and clean coarse sand of F.M 2.5 to 3 including screening shuttering mixing cement concrete in mixer and placing in position vibrating,striking,curing,taxes and royalty all complete as perbuilding specification and direction of engineer in charge</t>
  </si>
  <si>
    <t>A.151</t>
  </si>
  <si>
    <t>Providing R.C.C.M-150 with nominal mix(1:2:4) in foundation and plinth  and with approved quality  stone chips 20mm to 6mm size graded and clean coarse sand of F.M. 2.5 to 3 incuding screening, shuttering, mixing cement concrete in mixer and placing in position, vibrating, striking, curing (but excluding the cost of reinforcement, taxed and royalty all complete, as per building specification and direction of E/I.)</t>
  </si>
  <si>
    <t>A.2</t>
  </si>
  <si>
    <t>Mini Tower For 33 KV Line</t>
  </si>
  <si>
    <t>Per ton</t>
  </si>
  <si>
    <t>Latest rate internet</t>
  </si>
  <si>
    <t>ESCALATION RATE CALCULATION FROM INFLATION INDICES</t>
  </si>
  <si>
    <t>COMMODITY</t>
  </si>
  <si>
    <t>Wholesale Price Index (WPI)</t>
  </si>
  <si>
    <t>Consumer Price Index (CPI)</t>
  </si>
  <si>
    <t>Consolidated Index
(60% weightage to WPI and 40% weightage to CPI)</t>
  </si>
  <si>
    <t>Escalation Rate (in %)</t>
  </si>
  <si>
    <t>2015-2016</t>
  </si>
  <si>
    <t>2014-2016</t>
  </si>
  <si>
    <t>AVERAGE</t>
  </si>
  <si>
    <t>All India Consumer Price Index For Industrial Workers</t>
  </si>
  <si>
    <t>WPI</t>
  </si>
  <si>
    <t>CPI</t>
  </si>
  <si>
    <t>Escalation factor Used</t>
  </si>
  <si>
    <t>Updated rates</t>
  </si>
  <si>
    <t>Updated rates 2</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</si>
</sst>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_);_(* \(#,##0.00\);_(* &quot;-&quot;??_);_(@_)"/>
    <numFmt numFmtId="165" formatCode="0.0"/>
    <numFmt numFmtId="166" formatCode="_(* #,##0.0_);_(* \(#,##0.0\);_(* &quot;-&quot;??_);_(@_)"/>
    <numFmt numFmtId="167" formatCode="_(* #,##0_);_(* \(#,##0\);_(* &quot;-&quot;??_);_(@_)"/>
    <numFmt numFmtId="168" formatCode="0.000%"/>
    <numFmt numFmtId="169" formatCode="0.0000"/>
    <numFmt numFmtId="170" formatCode="[$-409]mmm/yy;@"/>
    <numFmt numFmtId="171" formatCode="0.0%"/>
  </numFmts>
  <fonts count="34" x14ac:knownFonts="1">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name val="Arial"/>
      <family val="2"/>
    </font>
    <font>
      <b/>
      <sz val="11"/>
      <color rgb="FF000000"/>
      <name val="Calibri"/>
      <family val="2"/>
    </font>
    <font>
      <b/>
      <u/>
      <sz val="11"/>
      <color theme="1"/>
      <name val="Calibri"/>
      <family val="2"/>
      <scheme val="minor"/>
    </font>
    <font>
      <sz val="11"/>
      <name val="Calibri"/>
      <family val="2"/>
      <scheme val="minor"/>
    </font>
    <font>
      <b/>
      <sz val="11"/>
      <name val="Calibri"/>
      <family val="2"/>
      <scheme val="minor"/>
    </font>
    <font>
      <b/>
      <sz val="10"/>
      <name val="Calibri"/>
      <family val="2"/>
      <scheme val="minor"/>
    </font>
    <font>
      <b/>
      <sz val="10"/>
      <color theme="1"/>
      <name val="Calibri"/>
      <family val="2"/>
      <scheme val="minor"/>
    </font>
    <font>
      <sz val="10"/>
      <name val="Calibri"/>
      <family val="2"/>
      <scheme val="minor"/>
    </font>
    <font>
      <sz val="10"/>
      <color theme="1"/>
      <name val="Calibri"/>
      <family val="2"/>
      <scheme val="minor"/>
    </font>
    <font>
      <sz val="11"/>
      <color rgb="FFFF0000"/>
      <name val="Calibri"/>
      <family val="2"/>
      <scheme val="minor"/>
    </font>
    <font>
      <b/>
      <sz val="11"/>
      <color rgb="FFFF0000"/>
      <name val="Calibri"/>
      <family val="2"/>
      <scheme val="minor"/>
    </font>
    <font>
      <b/>
      <sz val="12"/>
      <color theme="1"/>
      <name val="Calibri"/>
      <family val="2"/>
      <scheme val="minor"/>
    </font>
    <font>
      <b/>
      <sz val="14"/>
      <color theme="1"/>
      <name val="Calibri"/>
      <family val="2"/>
      <scheme val="minor"/>
    </font>
    <font>
      <sz val="9"/>
      <color indexed="81"/>
      <name val="Tahoma"/>
      <family val="2"/>
    </font>
    <font>
      <b/>
      <sz val="9"/>
      <color indexed="81"/>
      <name val="Tahoma"/>
      <family val="2"/>
    </font>
    <font>
      <sz val="12"/>
      <color theme="1"/>
      <name val="Calibri"/>
      <family val="2"/>
      <scheme val="minor"/>
    </font>
    <font>
      <u/>
      <sz val="11"/>
      <color theme="10"/>
      <name val="Calibri"/>
      <family val="2"/>
      <scheme val="minor"/>
    </font>
    <font>
      <b/>
      <sz val="12"/>
      <color theme="1"/>
      <name val="Arial"/>
      <family val="2"/>
    </font>
    <font>
      <b/>
      <sz val="12"/>
      <name val="Calibri"/>
      <family val="2"/>
      <scheme val="minor"/>
    </font>
    <font>
      <u val="singleAccounting"/>
      <sz val="10"/>
      <name val="Calibri"/>
      <family val="2"/>
      <scheme val="minor"/>
    </font>
    <font>
      <i/>
      <sz val="10"/>
      <name val="Calibri"/>
      <family val="2"/>
      <scheme val="minor"/>
    </font>
    <font>
      <b/>
      <sz val="10"/>
      <color theme="0"/>
      <name val="Calibri"/>
      <family val="2"/>
      <scheme val="minor"/>
    </font>
    <font>
      <b/>
      <sz val="16"/>
      <color theme="1"/>
      <name val="Calibri"/>
      <family val="2"/>
      <scheme val="minor"/>
    </font>
    <font>
      <sz val="10"/>
      <color theme="1"/>
      <name val="Calibri"/>
      <family val="2"/>
    </font>
    <font>
      <sz val="10"/>
      <color indexed="8"/>
      <name val="Calibri"/>
      <family val="2"/>
      <scheme val="minor"/>
    </font>
    <font>
      <b/>
      <sz val="10"/>
      <color theme="1"/>
      <name val="Cambria"/>
      <family val="1"/>
      <scheme val="major"/>
    </font>
    <font>
      <sz val="8"/>
      <color rgb="FF000000"/>
      <name val="Arial"/>
      <family val="2"/>
    </font>
    <font>
      <b/>
      <sz val="9"/>
      <color rgb="FF000000"/>
      <name val="Arial"/>
      <family val="2"/>
    </font>
    <font>
      <b/>
      <sz val="8"/>
      <color rgb="FF000000"/>
      <name val="Arial"/>
      <family val="2"/>
    </font>
    <font>
      <sz val="10"/>
      <color rgb="FF000000"/>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9"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9">
    <xf numFmtId="0" fontId="0" fillId="0" borderId="0"/>
    <xf numFmtId="0" fontId="2" fillId="0" borderId="0"/>
    <xf numFmtId="0" fontId="4" fillId="0" borderId="0"/>
    <xf numFmtId="0" fontId="2" fillId="0" borderId="0"/>
    <xf numFmtId="164" fontId="2" fillId="0" borderId="0" applyFont="0" applyFill="0" applyBorder="0" applyAlignment="0" applyProtection="0"/>
    <xf numFmtId="9" fontId="1" fillId="0" borderId="0" applyFont="0" applyFill="0" applyBorder="0" applyAlignment="0" applyProtection="0"/>
    <xf numFmtId="0" fontId="19" fillId="0" borderId="0"/>
    <xf numFmtId="0" fontId="20" fillId="0" borderId="0" applyNumberFormat="0" applyFill="0" applyBorder="0" applyAlignment="0" applyProtection="0"/>
    <xf numFmtId="164" fontId="1" fillId="0" borderId="0" applyFont="0" applyFill="0" applyBorder="0" applyAlignment="0" applyProtection="0"/>
  </cellStyleXfs>
  <cellXfs count="469">
    <xf numFmtId="0" fontId="0" fillId="0" borderId="0" xfId="0"/>
    <xf numFmtId="0" fontId="0" fillId="0" borderId="1" xfId="0" applyBorder="1" applyAlignment="1">
      <alignment horizontal="center" vertical="center"/>
    </xf>
    <xf numFmtId="0" fontId="0" fillId="0" borderId="0" xfId="0" applyAlignment="1">
      <alignment vertical="center"/>
    </xf>
    <xf numFmtId="0" fontId="0" fillId="0" borderId="1" xfId="0" applyBorder="1" applyAlignment="1">
      <alignment vertical="center"/>
    </xf>
    <xf numFmtId="10" fontId="0" fillId="0" borderId="1" xfId="5" applyNumberFormat="1" applyFont="1" applyBorder="1" applyAlignment="1">
      <alignment horizontal="center" vertical="center"/>
    </xf>
    <xf numFmtId="10"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7" fillId="0" borderId="0" xfId="2" applyFont="1"/>
    <xf numFmtId="0" fontId="7" fillId="0" borderId="0" xfId="2" applyFont="1" applyAlignment="1">
      <alignment wrapText="1"/>
    </xf>
    <xf numFmtId="164" fontId="1" fillId="0" borderId="0" xfId="4" applyFont="1" applyAlignment="1">
      <alignment vertical="center"/>
    </xf>
    <xf numFmtId="0" fontId="8" fillId="0" borderId="0" xfId="2" applyFont="1"/>
    <xf numFmtId="0" fontId="7" fillId="0" borderId="0" xfId="2" applyFont="1" applyAlignment="1">
      <alignment horizontal="center" vertical="center" wrapText="1"/>
    </xf>
    <xf numFmtId="0" fontId="0" fillId="0" borderId="1" xfId="0" applyFill="1" applyBorder="1" applyAlignment="1">
      <alignment horizontal="center" vertical="center"/>
    </xf>
    <xf numFmtId="0" fontId="8" fillId="0" borderId="0" xfId="2" applyFont="1" applyAlignment="1">
      <alignment horizontal="center" vertical="center"/>
    </xf>
    <xf numFmtId="0" fontId="7" fillId="0" borderId="0" xfId="2" applyFont="1" applyAlignment="1">
      <alignment horizontal="center" vertical="center"/>
    </xf>
    <xf numFmtId="0" fontId="7" fillId="0" borderId="0" xfId="2" applyFont="1" applyAlignment="1">
      <alignment vertical="center"/>
    </xf>
    <xf numFmtId="0" fontId="7" fillId="0" borderId="0" xfId="2" applyFont="1" applyAlignment="1">
      <alignment vertical="center" wrapText="1"/>
    </xf>
    <xf numFmtId="164" fontId="1" fillId="0" borderId="0" xfId="4" applyFont="1" applyAlignment="1">
      <alignment horizontal="center" vertical="center"/>
    </xf>
    <xf numFmtId="0" fontId="9" fillId="2" borderId="1" xfId="2" applyFont="1" applyFill="1" applyBorder="1" applyAlignment="1">
      <alignment horizontal="center" vertical="center"/>
    </xf>
    <xf numFmtId="0" fontId="9" fillId="2" borderId="1" xfId="2" applyFont="1" applyFill="1" applyBorder="1" applyAlignment="1">
      <alignment horizontal="center" vertical="center" wrapText="1"/>
    </xf>
    <xf numFmtId="164" fontId="10" fillId="2" borderId="1" xfId="4" applyFont="1" applyFill="1" applyBorder="1" applyAlignment="1">
      <alignment horizontal="center" vertical="center" wrapText="1"/>
    </xf>
    <xf numFmtId="0" fontId="11" fillId="0" borderId="1" xfId="3" applyFont="1" applyBorder="1" applyAlignment="1">
      <alignment horizontal="center" vertical="center"/>
    </xf>
    <xf numFmtId="0" fontId="11" fillId="0" borderId="1" xfId="3" applyFont="1" applyBorder="1" applyAlignment="1">
      <alignment horizontal="center" vertical="center" wrapText="1"/>
    </xf>
    <xf numFmtId="10" fontId="11" fillId="0" borderId="1" xfId="4" applyNumberFormat="1" applyFont="1" applyBorder="1" applyAlignment="1">
      <alignment horizontal="center" vertical="center"/>
    </xf>
    <xf numFmtId="0" fontId="11" fillId="0" borderId="1" xfId="2" applyFont="1" applyBorder="1" applyAlignment="1">
      <alignment horizontal="center" vertical="center"/>
    </xf>
    <xf numFmtId="0" fontId="11" fillId="0" borderId="1" xfId="2" applyFont="1" applyBorder="1" applyAlignment="1">
      <alignment horizontal="center" vertical="center" wrapText="1"/>
    </xf>
    <xf numFmtId="0" fontId="11" fillId="0" borderId="1" xfId="2" applyFont="1" applyFill="1" applyBorder="1" applyAlignment="1">
      <alignment vertical="center" wrapText="1"/>
    </xf>
    <xf numFmtId="164" fontId="10" fillId="2" borderId="1" xfId="4" applyFont="1" applyFill="1" applyBorder="1" applyAlignment="1">
      <alignment horizontal="center" vertical="center" wrapText="1"/>
    </xf>
    <xf numFmtId="0" fontId="11" fillId="0" borderId="0" xfId="2" applyFont="1" applyAlignment="1">
      <alignment vertical="center"/>
    </xf>
    <xf numFmtId="164" fontId="12" fillId="0" borderId="0" xfId="4" applyFont="1" applyAlignment="1">
      <alignment vertical="center"/>
    </xf>
    <xf numFmtId="164" fontId="12" fillId="0" borderId="0" xfId="4" applyFont="1" applyAlignment="1">
      <alignment horizontal="center" vertical="center"/>
    </xf>
    <xf numFmtId="0" fontId="9" fillId="2" borderId="1" xfId="2" applyFont="1" applyFill="1" applyBorder="1" applyAlignment="1">
      <alignment horizontal="center" vertical="center" wrapText="1"/>
    </xf>
    <xf numFmtId="0" fontId="3" fillId="3" borderId="1" xfId="0" applyFont="1" applyFill="1" applyBorder="1" applyAlignment="1">
      <alignment horizontal="center" vertical="center"/>
    </xf>
    <xf numFmtId="0" fontId="12" fillId="0" borderId="0" xfId="0" applyFont="1"/>
    <xf numFmtId="0" fontId="12" fillId="0" borderId="1" xfId="0" applyFont="1" applyBorder="1" applyAlignment="1">
      <alignment horizontal="center" vertical="center"/>
    </xf>
    <xf numFmtId="0" fontId="12" fillId="0" borderId="1" xfId="0" applyFont="1" applyBorder="1"/>
    <xf numFmtId="0" fontId="12" fillId="0" borderId="0" xfId="0" applyFont="1" applyAlignment="1">
      <alignment horizontal="center" vertical="center"/>
    </xf>
    <xf numFmtId="164" fontId="7" fillId="0" borderId="0" xfId="2" applyNumberFormat="1" applyFont="1"/>
    <xf numFmtId="0" fontId="19" fillId="0" borderId="0" xfId="6"/>
    <xf numFmtId="0" fontId="9" fillId="2" borderId="1" xfId="2" applyFont="1" applyFill="1" applyBorder="1" applyAlignment="1">
      <alignment horizontal="center" vertical="center" wrapText="1"/>
    </xf>
    <xf numFmtId="0" fontId="9" fillId="0" borderId="1" xfId="2"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vertical="center" wrapText="1"/>
    </xf>
    <xf numFmtId="0" fontId="19" fillId="0" borderId="0" xfId="6" applyAlignment="1">
      <alignment vertical="center" wrapText="1"/>
    </xf>
    <xf numFmtId="164" fontId="12" fillId="0" borderId="1" xfId="0" applyNumberFormat="1" applyFont="1" applyBorder="1" applyAlignment="1">
      <alignment horizontal="center" vertical="center" wrapText="1"/>
    </xf>
    <xf numFmtId="0" fontId="11" fillId="0" borderId="1" xfId="2" applyFont="1" applyBorder="1" applyAlignment="1">
      <alignment horizontal="left" vertical="center" wrapText="1"/>
    </xf>
    <xf numFmtId="0" fontId="0" fillId="0" borderId="0" xfId="0" applyAlignment="1">
      <alignment wrapText="1"/>
    </xf>
    <xf numFmtId="0" fontId="10" fillId="0" borderId="1" xfId="0" applyFont="1" applyBorder="1" applyAlignment="1">
      <alignment horizontal="center" vertical="center" wrapText="1"/>
    </xf>
    <xf numFmtId="1" fontId="12" fillId="0" borderId="1" xfId="0" applyNumberFormat="1" applyFont="1" applyBorder="1" applyAlignment="1">
      <alignment vertical="center" wrapText="1"/>
    </xf>
    <xf numFmtId="0" fontId="12" fillId="0" borderId="1" xfId="0" applyFont="1" applyBorder="1" applyAlignment="1">
      <alignment horizontal="right" vertical="center" wrapText="1"/>
    </xf>
    <xf numFmtId="165" fontId="12" fillId="0" borderId="1" xfId="0" applyNumberFormat="1" applyFont="1" applyBorder="1" applyAlignment="1">
      <alignment vertical="center" wrapText="1"/>
    </xf>
    <xf numFmtId="0" fontId="20" fillId="0" borderId="0" xfId="7" applyAlignment="1">
      <alignment wrapText="1"/>
    </xf>
    <xf numFmtId="0" fontId="12" fillId="0" borderId="1" xfId="0" applyFont="1" applyFill="1" applyBorder="1" applyAlignment="1">
      <alignment vertical="center"/>
    </xf>
    <xf numFmtId="9" fontId="12" fillId="0" borderId="1" xfId="0" applyNumberFormat="1" applyFont="1" applyBorder="1" applyAlignment="1">
      <alignment horizontal="center" vertical="center"/>
    </xf>
    <xf numFmtId="0" fontId="0" fillId="0" borderId="0" xfId="0" applyAlignment="1">
      <alignment horizontal="center" wrapText="1"/>
    </xf>
    <xf numFmtId="0" fontId="0" fillId="0" borderId="0" xfId="0" applyAlignment="1">
      <alignment horizontal="center" vertical="center" wrapText="1"/>
    </xf>
    <xf numFmtId="0" fontId="21" fillId="0" borderId="0" xfId="0" applyFont="1" applyFill="1" applyBorder="1" applyAlignment="1">
      <alignment vertical="center" wrapText="1"/>
    </xf>
    <xf numFmtId="0" fontId="11" fillId="0" borderId="1" xfId="0" applyFont="1" applyFill="1" applyBorder="1" applyAlignment="1">
      <alignment horizontal="left" vertical="center" wrapText="1"/>
    </xf>
    <xf numFmtId="0" fontId="12" fillId="0" borderId="1" xfId="0" applyFont="1" applyBorder="1" applyAlignment="1">
      <alignment horizontal="left" vertical="center" wrapText="1"/>
    </xf>
    <xf numFmtId="1" fontId="12" fillId="0" borderId="1" xfId="0" applyNumberFormat="1" applyFont="1" applyBorder="1" applyAlignment="1">
      <alignment horizontal="right" vertical="center" wrapText="1"/>
    </xf>
    <xf numFmtId="165" fontId="12" fillId="0" borderId="1" xfId="0" applyNumberFormat="1" applyFont="1" applyBorder="1" applyAlignment="1">
      <alignment horizontal="right" vertical="center" wrapText="1"/>
    </xf>
    <xf numFmtId="0" fontId="2" fillId="0" borderId="1" xfId="1" applyFont="1" applyBorder="1" applyAlignment="1">
      <alignment horizontal="center" vertical="center" wrapText="1"/>
    </xf>
    <xf numFmtId="0" fontId="9" fillId="0" borderId="5" xfId="2" applyFont="1" applyFill="1" applyBorder="1" applyAlignment="1">
      <alignment horizontal="center" vertical="center"/>
    </xf>
    <xf numFmtId="0" fontId="9" fillId="0" borderId="5" xfId="2" applyFont="1" applyFill="1" applyBorder="1" applyAlignment="1">
      <alignment horizontal="center" vertical="center" wrapText="1"/>
    </xf>
    <xf numFmtId="0" fontId="9" fillId="0" borderId="1" xfId="2" applyFont="1" applyFill="1" applyBorder="1" applyAlignment="1">
      <alignment horizontal="center" vertical="center"/>
    </xf>
    <xf numFmtId="0" fontId="11" fillId="0" borderId="1" xfId="4" applyNumberFormat="1" applyFont="1" applyBorder="1" applyAlignment="1">
      <alignment horizontal="center" vertical="center" wrapText="1"/>
    </xf>
    <xf numFmtId="0" fontId="7" fillId="0" borderId="0" xfId="2" applyNumberFormat="1" applyFont="1"/>
    <xf numFmtId="0" fontId="22" fillId="0" borderId="0" xfId="2" applyNumberFormat="1" applyFont="1" applyBorder="1" applyAlignment="1">
      <alignment horizontal="center" vertical="center"/>
    </xf>
    <xf numFmtId="0" fontId="11" fillId="0" borderId="1" xfId="4" applyNumberFormat="1" applyFont="1" applyBorder="1" applyAlignment="1">
      <alignment horizontal="right" vertical="center"/>
    </xf>
    <xf numFmtId="0" fontId="11" fillId="0" borderId="1" xfId="4" applyNumberFormat="1" applyFont="1" applyBorder="1" applyAlignment="1">
      <alignment vertical="center"/>
    </xf>
    <xf numFmtId="0" fontId="11" fillId="0" borderId="1" xfId="4" applyNumberFormat="1" applyFont="1" applyBorder="1" applyAlignment="1">
      <alignment vertical="center" wrapText="1"/>
    </xf>
    <xf numFmtId="0" fontId="9" fillId="2" borderId="1" xfId="2" applyFont="1" applyFill="1" applyBorder="1" applyAlignment="1">
      <alignment horizontal="center" vertical="center"/>
    </xf>
    <xf numFmtId="0" fontId="12" fillId="0" borderId="1" xfId="0" applyNumberFormat="1" applyFont="1" applyBorder="1" applyAlignment="1">
      <alignment horizontal="center" vertical="center" wrapText="1"/>
    </xf>
    <xf numFmtId="165" fontId="3" fillId="0" borderId="1" xfId="0" applyNumberFormat="1" applyFont="1" applyBorder="1" applyAlignment="1">
      <alignment vertical="center" wrapText="1"/>
    </xf>
    <xf numFmtId="164" fontId="10" fillId="2" borderId="1" xfId="4" applyFont="1" applyFill="1" applyBorder="1" applyAlignment="1">
      <alignment horizontal="center" vertical="center" wrapText="1"/>
    </xf>
    <xf numFmtId="0" fontId="9" fillId="2" borderId="5" xfId="2" applyFont="1" applyFill="1" applyBorder="1" applyAlignment="1">
      <alignment horizontal="center" vertical="center" wrapText="1"/>
    </xf>
    <xf numFmtId="0" fontId="11" fillId="0" borderId="5" xfId="2" applyFont="1" applyBorder="1" applyAlignment="1">
      <alignment horizontal="center" vertical="center"/>
    </xf>
    <xf numFmtId="164" fontId="11" fillId="0" borderId="1" xfId="4" applyFont="1" applyBorder="1" applyAlignment="1">
      <alignment horizontal="center" vertical="center" wrapText="1"/>
    </xf>
    <xf numFmtId="0" fontId="9" fillId="2" borderId="1" xfId="2" applyFont="1" applyFill="1" applyBorder="1" applyAlignment="1">
      <alignment horizontal="center" vertical="center" wrapText="1"/>
    </xf>
    <xf numFmtId="0" fontId="10" fillId="0" borderId="1" xfId="0" applyFont="1" applyBorder="1" applyAlignment="1">
      <alignment horizontal="center" vertical="center" wrapText="1"/>
    </xf>
    <xf numFmtId="0" fontId="3" fillId="3" borderId="1" xfId="0" applyFont="1" applyFill="1" applyBorder="1" applyAlignment="1">
      <alignment horizontal="center" vertical="center"/>
    </xf>
    <xf numFmtId="0" fontId="10" fillId="0" borderId="1" xfId="0" applyFont="1" applyBorder="1" applyAlignment="1">
      <alignment horizontal="center" vertical="center" wrapText="1"/>
    </xf>
    <xf numFmtId="0" fontId="12" fillId="0" borderId="1" xfId="0" applyFont="1" applyFill="1" applyBorder="1" applyAlignment="1">
      <alignment horizontal="left" vertical="center" wrapText="1"/>
    </xf>
    <xf numFmtId="0"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2" fillId="0" borderId="1" xfId="0" applyFont="1" applyFill="1" applyBorder="1" applyAlignment="1">
      <alignment vertical="center" wrapText="1"/>
    </xf>
    <xf numFmtId="0" fontId="12" fillId="0" borderId="1" xfId="0" applyNumberFormat="1" applyFont="1" applyFill="1" applyBorder="1" applyAlignment="1">
      <alignment horizontal="center" vertical="center" wrapText="1"/>
    </xf>
    <xf numFmtId="0" fontId="12" fillId="0" borderId="1" xfId="0" quotePrefix="1" applyFont="1" applyFill="1" applyBorder="1" applyAlignment="1">
      <alignment horizontal="left" vertical="center" wrapText="1"/>
    </xf>
    <xf numFmtId="0" fontId="1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2" fillId="0" borderId="9" xfId="2" applyFont="1" applyBorder="1" applyAlignment="1">
      <alignment vertical="center"/>
    </xf>
    <xf numFmtId="0" fontId="10" fillId="2" borderId="1" xfId="4" applyNumberFormat="1" applyFont="1" applyFill="1" applyBorder="1" applyAlignment="1">
      <alignment horizontal="center" vertical="center" wrapText="1"/>
    </xf>
    <xf numFmtId="164" fontId="7" fillId="0" borderId="1" xfId="2" applyNumberFormat="1" applyFont="1" applyBorder="1"/>
    <xf numFmtId="0" fontId="3" fillId="0" borderId="1" xfId="0" applyFont="1" applyBorder="1" applyAlignment="1">
      <alignment horizontal="center" vertical="center" wrapText="1"/>
    </xf>
    <xf numFmtId="0" fontId="10" fillId="0" borderId="1" xfId="0" applyFont="1" applyBorder="1" applyAlignment="1">
      <alignment horizontal="center" vertical="center" wrapText="1"/>
    </xf>
    <xf numFmtId="164" fontId="15" fillId="2" borderId="1" xfId="4" applyFont="1" applyFill="1" applyBorder="1" applyAlignment="1">
      <alignment vertical="center" wrapText="1"/>
    </xf>
    <xf numFmtId="164" fontId="11" fillId="0" borderId="1" xfId="4" applyNumberFormat="1" applyFont="1" applyBorder="1" applyAlignment="1">
      <alignment vertical="center"/>
    </xf>
    <xf numFmtId="166" fontId="11" fillId="0" borderId="1" xfId="4" applyNumberFormat="1" applyFont="1" applyBorder="1" applyAlignment="1">
      <alignment vertical="center"/>
    </xf>
    <xf numFmtId="0" fontId="0" fillId="0" borderId="1" xfId="0" applyBorder="1" applyAlignment="1">
      <alignment horizontal="center"/>
    </xf>
    <xf numFmtId="0" fontId="0" fillId="0" borderId="1" xfId="0" applyBorder="1"/>
    <xf numFmtId="0" fontId="9" fillId="0" borderId="1" xfId="3" applyFont="1" applyFill="1" applyBorder="1" applyAlignment="1">
      <alignment horizontal="center" vertical="center"/>
    </xf>
    <xf numFmtId="0" fontId="9" fillId="0" borderId="1" xfId="3" applyFont="1" applyFill="1" applyBorder="1" applyAlignment="1">
      <alignment horizontal="center" vertical="center" wrapText="1"/>
    </xf>
    <xf numFmtId="164" fontId="11" fillId="0" borderId="1" xfId="3" applyNumberFormat="1" applyFont="1" applyBorder="1" applyAlignment="1">
      <alignment vertical="center" wrapText="1"/>
    </xf>
    <xf numFmtId="0" fontId="11" fillId="0" borderId="1" xfId="3" applyFont="1" applyBorder="1" applyAlignment="1">
      <alignment horizontal="left" vertical="center" wrapText="1"/>
    </xf>
    <xf numFmtId="0" fontId="11" fillId="0" borderId="1" xfId="3" applyFont="1" applyFill="1" applyBorder="1" applyAlignment="1">
      <alignment horizontal="center" vertical="center" wrapText="1"/>
    </xf>
    <xf numFmtId="0" fontId="0" fillId="0" borderId="0" xfId="0" applyAlignment="1">
      <alignment horizontal="center"/>
    </xf>
    <xf numFmtId="0" fontId="11" fillId="0" borderId="1" xfId="3" applyFont="1" applyFill="1" applyBorder="1" applyAlignment="1">
      <alignment horizontal="center" vertical="center"/>
    </xf>
    <xf numFmtId="1" fontId="12" fillId="0" borderId="1" xfId="0" applyNumberFormat="1" applyFont="1" applyBorder="1" applyAlignment="1">
      <alignment horizontal="center" vertical="center" wrapText="1"/>
    </xf>
    <xf numFmtId="0" fontId="12" fillId="0" borderId="1" xfId="3" applyFont="1" applyFill="1" applyBorder="1" applyAlignment="1">
      <alignment horizontal="left" vertical="center" wrapText="1"/>
    </xf>
    <xf numFmtId="166" fontId="11" fillId="0" borderId="1" xfId="2" applyNumberFormat="1" applyFont="1" applyBorder="1" applyAlignment="1">
      <alignment vertical="center" wrapText="1"/>
    </xf>
    <xf numFmtId="164" fontId="11" fillId="0" borderId="1" xfId="3" applyNumberFormat="1" applyFont="1" applyBorder="1" applyAlignment="1">
      <alignment horizontal="center" vertical="center" wrapText="1"/>
    </xf>
    <xf numFmtId="164" fontId="12" fillId="0" borderId="1" xfId="4" applyNumberFormat="1" applyFont="1" applyBorder="1" applyAlignment="1">
      <alignment horizontal="right" vertical="center"/>
    </xf>
    <xf numFmtId="164" fontId="11" fillId="0" borderId="1" xfId="4" applyNumberFormat="1" applyFont="1" applyBorder="1" applyAlignment="1">
      <alignment horizontal="right" vertical="center"/>
    </xf>
    <xf numFmtId="164" fontId="12" fillId="0" borderId="1" xfId="4" applyNumberFormat="1" applyFont="1" applyFill="1" applyBorder="1" applyAlignment="1">
      <alignment horizontal="right" vertical="center"/>
    </xf>
    <xf numFmtId="164" fontId="7" fillId="0" borderId="1" xfId="2" applyNumberFormat="1" applyFont="1" applyFill="1" applyBorder="1"/>
    <xf numFmtId="164" fontId="11" fillId="0" borderId="1" xfId="4" applyNumberFormat="1" applyFont="1" applyFill="1" applyBorder="1" applyAlignment="1">
      <alignment horizontal="right" vertical="center"/>
    </xf>
    <xf numFmtId="164" fontId="11" fillId="0" borderId="1" xfId="2" applyNumberFormat="1" applyFont="1" applyBorder="1"/>
    <xf numFmtId="164" fontId="11" fillId="0" borderId="1" xfId="2" applyNumberFormat="1" applyFont="1" applyFill="1" applyBorder="1" applyAlignment="1">
      <alignment horizontal="right" vertical="center"/>
    </xf>
    <xf numFmtId="164" fontId="11" fillId="0" borderId="1" xfId="2" applyNumberFormat="1" applyFont="1" applyBorder="1" applyAlignment="1">
      <alignment horizontal="right" vertical="center"/>
    </xf>
    <xf numFmtId="164" fontId="11" fillId="0" borderId="1" xfId="2" applyNumberFormat="1" applyFont="1" applyFill="1" applyBorder="1" applyAlignment="1">
      <alignment horizontal="center" vertical="center" wrapText="1"/>
    </xf>
    <xf numFmtId="164" fontId="8" fillId="0" borderId="1" xfId="2" applyNumberFormat="1" applyFont="1" applyBorder="1" applyAlignment="1">
      <alignment vertical="center"/>
    </xf>
    <xf numFmtId="164" fontId="8" fillId="0" borderId="1" xfId="4" applyNumberFormat="1" applyFont="1" applyBorder="1" applyAlignment="1">
      <alignment horizontal="right" vertical="center"/>
    </xf>
    <xf numFmtId="164" fontId="8" fillId="0" borderId="1" xfId="2" applyNumberFormat="1" applyFont="1" applyBorder="1"/>
    <xf numFmtId="166" fontId="11" fillId="0" borderId="1" xfId="4" applyNumberFormat="1" applyFont="1" applyBorder="1" applyAlignment="1">
      <alignment horizontal="right" vertical="center"/>
    </xf>
    <xf numFmtId="166" fontId="11" fillId="0" borderId="1" xfId="4" applyNumberFormat="1" applyFont="1" applyFill="1" applyBorder="1" applyAlignment="1">
      <alignment horizontal="center" vertical="center"/>
    </xf>
    <xf numFmtId="166" fontId="7" fillId="0" borderId="1" xfId="2" applyNumberFormat="1" applyFont="1" applyBorder="1"/>
    <xf numFmtId="166" fontId="8" fillId="0" borderId="1" xfId="4" applyNumberFormat="1" applyFont="1" applyBorder="1" applyAlignment="1">
      <alignment horizontal="right" vertical="center"/>
    </xf>
    <xf numFmtId="165" fontId="10" fillId="0" borderId="1" xfId="0" applyNumberFormat="1" applyFont="1" applyBorder="1" applyAlignment="1">
      <alignment vertical="center" wrapText="1"/>
    </xf>
    <xf numFmtId="165" fontId="3" fillId="0" borderId="1" xfId="0" applyNumberFormat="1" applyFont="1" applyBorder="1" applyAlignment="1">
      <alignment horizontal="center" vertical="center" wrapText="1"/>
    </xf>
    <xf numFmtId="164" fontId="11" fillId="0" borderId="6" xfId="4" applyNumberFormat="1" applyFont="1" applyBorder="1" applyAlignment="1">
      <alignment vertical="center"/>
    </xf>
    <xf numFmtId="164" fontId="11" fillId="0" borderId="1" xfId="4" applyNumberFormat="1" applyFont="1" applyBorder="1" applyAlignment="1">
      <alignment vertical="center" wrapText="1"/>
    </xf>
    <xf numFmtId="0" fontId="11" fillId="0" borderId="1" xfId="3" applyNumberFormat="1" applyFont="1" applyBorder="1" applyAlignment="1">
      <alignment vertical="center" wrapText="1"/>
    </xf>
    <xf numFmtId="0" fontId="9" fillId="2" borderId="1" xfId="2" applyNumberFormat="1" applyFont="1" applyFill="1" applyBorder="1" applyAlignment="1">
      <alignment horizontal="center" vertical="center"/>
    </xf>
    <xf numFmtId="0" fontId="11" fillId="0" borderId="1" xfId="2" applyNumberFormat="1" applyFont="1" applyBorder="1" applyAlignment="1">
      <alignment vertical="center" wrapText="1"/>
    </xf>
    <xf numFmtId="0" fontId="12" fillId="0" borderId="1" xfId="2" applyNumberFormat="1" applyFont="1" applyFill="1" applyBorder="1" applyAlignment="1">
      <alignment horizontal="justify" vertical="center" wrapText="1"/>
    </xf>
    <xf numFmtId="0" fontId="11" fillId="0" borderId="1" xfId="2" applyNumberFormat="1" applyFont="1" applyFill="1" applyBorder="1" applyAlignment="1">
      <alignment vertical="center" wrapText="1"/>
    </xf>
    <xf numFmtId="0" fontId="7" fillId="0" borderId="0" xfId="2" applyNumberFormat="1" applyFont="1" applyAlignment="1">
      <alignment vertical="center"/>
    </xf>
    <xf numFmtId="165" fontId="12" fillId="0" borderId="1" xfId="0" applyNumberFormat="1" applyFont="1" applyFill="1" applyBorder="1" applyAlignment="1">
      <alignment vertical="center" wrapText="1"/>
    </xf>
    <xf numFmtId="0" fontId="9" fillId="2" borderId="1" xfId="2" applyNumberFormat="1" applyFont="1" applyFill="1" applyBorder="1" applyAlignment="1">
      <alignment horizontal="center" vertical="center" wrapText="1"/>
    </xf>
    <xf numFmtId="0" fontId="7" fillId="0" borderId="0" xfId="2" applyNumberFormat="1" applyFont="1" applyAlignment="1">
      <alignment vertical="center" wrapText="1"/>
    </xf>
    <xf numFmtId="10" fontId="11" fillId="0" borderId="1" xfId="5" applyNumberFormat="1" applyFont="1" applyBorder="1" applyAlignment="1">
      <alignment horizontal="center" vertical="center"/>
    </xf>
    <xf numFmtId="0" fontId="9" fillId="0" borderId="1" xfId="2" applyNumberFormat="1" applyFont="1" applyFill="1" applyBorder="1" applyAlignment="1">
      <alignment horizontal="center" vertical="center" wrapText="1"/>
    </xf>
    <xf numFmtId="10" fontId="11" fillId="0" borderId="1" xfId="5" applyNumberFormat="1" applyFont="1" applyFill="1" applyBorder="1" applyAlignment="1">
      <alignment horizontal="center" vertical="center"/>
    </xf>
    <xf numFmtId="0" fontId="11" fillId="0" borderId="1" xfId="3" applyNumberFormat="1" applyFont="1" applyFill="1" applyBorder="1" applyAlignment="1">
      <alignment vertical="center" wrapText="1"/>
    </xf>
    <xf numFmtId="0" fontId="11" fillId="0" borderId="0" xfId="2" applyNumberFormat="1" applyFont="1" applyAlignment="1">
      <alignment vertical="center"/>
    </xf>
    <xf numFmtId="167" fontId="11" fillId="0" borderId="1" xfId="2" applyNumberFormat="1" applyFont="1" applyFill="1" applyBorder="1" applyAlignment="1">
      <alignment horizontal="center" vertical="center" wrapText="1"/>
    </xf>
    <xf numFmtId="0" fontId="11" fillId="0" borderId="2" xfId="4" applyNumberFormat="1" applyFont="1" applyBorder="1" applyAlignment="1">
      <alignment vertical="center"/>
    </xf>
    <xf numFmtId="164" fontId="22" fillId="0" borderId="9" xfId="2" applyNumberFormat="1" applyFont="1" applyBorder="1" applyAlignment="1">
      <alignment vertical="center"/>
    </xf>
    <xf numFmtId="164" fontId="12" fillId="0" borderId="1" xfId="4" applyNumberFormat="1" applyFont="1" applyFill="1" applyBorder="1" applyAlignment="1">
      <alignment horizontal="center" vertical="center" wrapText="1"/>
    </xf>
    <xf numFmtId="164" fontId="10" fillId="2" borderId="1" xfId="4" applyFont="1" applyFill="1" applyBorder="1" applyAlignment="1">
      <alignment horizontal="center" vertical="center" wrapText="1"/>
    </xf>
    <xf numFmtId="167" fontId="11" fillId="0" borderId="1" xfId="3" applyNumberFormat="1" applyFont="1" applyBorder="1" applyAlignment="1">
      <alignment horizontal="center" vertical="center"/>
    </xf>
    <xf numFmtId="0" fontId="9" fillId="2" borderId="1" xfId="2" applyFont="1" applyFill="1" applyBorder="1" applyAlignment="1">
      <alignment horizontal="center" vertical="center"/>
    </xf>
    <xf numFmtId="0" fontId="12" fillId="0" borderId="1" xfId="0" applyFont="1" applyBorder="1" applyAlignment="1">
      <alignment horizontal="left" vertical="center" wrapText="1"/>
    </xf>
    <xf numFmtId="0" fontId="11" fillId="0" borderId="1" xfId="4" applyNumberFormat="1" applyFont="1" applyBorder="1" applyAlignment="1">
      <alignment horizontal="center" vertical="center" wrapText="1"/>
    </xf>
    <xf numFmtId="167" fontId="11" fillId="0" borderId="1" xfId="3" applyNumberFormat="1" applyFont="1" applyBorder="1" applyAlignment="1">
      <alignment horizontal="center" vertical="center"/>
    </xf>
    <xf numFmtId="0" fontId="11" fillId="0" borderId="1" xfId="0" applyFont="1" applyFill="1" applyBorder="1" applyAlignment="1">
      <alignment vertical="center" wrapText="1"/>
    </xf>
    <xf numFmtId="165" fontId="11" fillId="0" borderId="1" xfId="0" applyNumberFormat="1" applyFont="1" applyBorder="1" applyAlignment="1">
      <alignment horizontal="center" vertical="center"/>
    </xf>
    <xf numFmtId="164" fontId="11" fillId="0" borderId="1" xfId="0" applyNumberFormat="1" applyFont="1" applyBorder="1" applyAlignment="1">
      <alignment horizontal="center" vertical="center"/>
    </xf>
    <xf numFmtId="164" fontId="15" fillId="2" borderId="3" xfId="4" applyFont="1" applyFill="1" applyBorder="1" applyAlignment="1">
      <alignment vertical="center" wrapText="1"/>
    </xf>
    <xf numFmtId="164" fontId="10" fillId="2" borderId="1" xfId="4" applyFont="1" applyFill="1" applyBorder="1" applyAlignment="1">
      <alignment horizontal="center" vertical="center" wrapText="1"/>
    </xf>
    <xf numFmtId="0" fontId="9" fillId="2" borderId="1" xfId="2" applyFont="1" applyFill="1" applyBorder="1" applyAlignment="1">
      <alignment horizontal="center" vertical="center" wrapText="1"/>
    </xf>
    <xf numFmtId="0" fontId="9" fillId="2" borderId="1" xfId="2" applyFont="1" applyFill="1" applyBorder="1" applyAlignment="1">
      <alignment horizontal="center" vertical="center"/>
    </xf>
    <xf numFmtId="0" fontId="10" fillId="0" borderId="1" xfId="0" applyFont="1" applyBorder="1" applyAlignment="1">
      <alignment horizontal="center" vertical="center" wrapText="1"/>
    </xf>
    <xf numFmtId="0" fontId="11" fillId="0" borderId="1" xfId="3" applyFont="1" applyFill="1" applyBorder="1" applyAlignment="1">
      <alignment horizontal="left" vertical="center" wrapText="1"/>
    </xf>
    <xf numFmtId="1" fontId="11" fillId="0" borderId="1" xfId="3" applyNumberFormat="1" applyFont="1" applyBorder="1" applyAlignment="1">
      <alignment horizontal="center" vertical="center"/>
    </xf>
    <xf numFmtId="0" fontId="9" fillId="2" borderId="1" xfId="2" applyFont="1" applyFill="1" applyBorder="1" applyAlignment="1">
      <alignment horizontal="center" vertical="center" wrapText="1"/>
    </xf>
    <xf numFmtId="0" fontId="11" fillId="0" borderId="1" xfId="4" applyNumberFormat="1" applyFont="1" applyBorder="1" applyAlignment="1">
      <alignment horizontal="center" vertical="center" wrapText="1"/>
    </xf>
    <xf numFmtId="0" fontId="22" fillId="0" borderId="0" xfId="2" applyNumberFormat="1" applyFont="1" applyBorder="1" applyAlignment="1">
      <alignment horizontal="center" vertical="center" wrapText="1"/>
    </xf>
    <xf numFmtId="0" fontId="7" fillId="0" borderId="0" xfId="2" applyNumberFormat="1" applyFont="1" applyAlignment="1">
      <alignment horizontal="center" vertical="center" wrapText="1"/>
    </xf>
    <xf numFmtId="0" fontId="22" fillId="0" borderId="0" xfId="2" applyFont="1" applyBorder="1" applyAlignment="1">
      <alignment vertical="center"/>
    </xf>
    <xf numFmtId="166" fontId="12" fillId="0" borderId="1" xfId="4" applyNumberFormat="1" applyFont="1" applyBorder="1" applyAlignment="1">
      <alignment horizontal="center" vertical="center"/>
    </xf>
    <xf numFmtId="166" fontId="11" fillId="0" borderId="1" xfId="4" applyNumberFormat="1" applyFont="1" applyBorder="1" applyAlignment="1">
      <alignment vertical="center" wrapText="1"/>
    </xf>
    <xf numFmtId="166" fontId="11" fillId="0" borderId="2" xfId="4" applyNumberFormat="1" applyFont="1" applyBorder="1" applyAlignment="1">
      <alignment horizontal="center" vertical="center" wrapText="1"/>
    </xf>
    <xf numFmtId="166" fontId="11" fillId="0" borderId="1" xfId="4" applyNumberFormat="1" applyFont="1" applyBorder="1" applyAlignment="1">
      <alignment horizontal="center" vertical="center" wrapText="1"/>
    </xf>
    <xf numFmtId="164" fontId="0" fillId="0" borderId="0" xfId="0" applyNumberFormat="1" applyAlignment="1">
      <alignment vertical="center"/>
    </xf>
    <xf numFmtId="10" fontId="11" fillId="0" borderId="1" xfId="5" applyNumberFormat="1" applyFont="1" applyFill="1" applyBorder="1" applyAlignment="1">
      <alignment horizontal="right" vertical="center"/>
    </xf>
    <xf numFmtId="164" fontId="11" fillId="0" borderId="1" xfId="4" applyNumberFormat="1" applyFont="1" applyFill="1" applyBorder="1" applyAlignment="1">
      <alignment vertical="center"/>
    </xf>
    <xf numFmtId="10" fontId="7" fillId="0" borderId="1" xfId="5" applyNumberFormat="1" applyFont="1" applyFill="1" applyBorder="1"/>
    <xf numFmtId="2" fontId="11" fillId="0" borderId="1" xfId="5" applyNumberFormat="1" applyFont="1" applyFill="1" applyBorder="1" applyAlignment="1">
      <alignment horizontal="center" vertical="center"/>
    </xf>
    <xf numFmtId="167" fontId="11" fillId="0" borderId="1" xfId="3" applyNumberFormat="1" applyFont="1" applyFill="1" applyBorder="1" applyAlignment="1">
      <alignment horizontal="center" vertical="center"/>
    </xf>
    <xf numFmtId="164" fontId="11" fillId="0" borderId="1" xfId="3" applyNumberFormat="1" applyFont="1" applyFill="1" applyBorder="1" applyAlignment="1">
      <alignment horizontal="center" vertical="center" wrapText="1"/>
    </xf>
    <xf numFmtId="167" fontId="11" fillId="0" borderId="1" xfId="2" applyNumberFormat="1" applyFont="1" applyFill="1" applyBorder="1" applyAlignment="1">
      <alignment horizontal="center" vertical="center"/>
    </xf>
    <xf numFmtId="164" fontId="11" fillId="0" borderId="1" xfId="4" applyNumberFormat="1" applyFont="1" applyFill="1" applyBorder="1" applyAlignment="1">
      <alignment horizontal="center" vertical="center"/>
    </xf>
    <xf numFmtId="164" fontId="11" fillId="0" borderId="1" xfId="2" applyNumberFormat="1" applyFont="1" applyFill="1" applyBorder="1" applyAlignment="1">
      <alignment horizontal="center" vertical="center"/>
    </xf>
    <xf numFmtId="166" fontId="11" fillId="0" borderId="1" xfId="3" applyNumberFormat="1" applyFont="1" applyFill="1" applyBorder="1" applyAlignment="1">
      <alignment horizontal="center" vertical="center" wrapText="1"/>
    </xf>
    <xf numFmtId="166" fontId="11" fillId="0" borderId="1" xfId="4" applyNumberFormat="1" applyFont="1" applyFill="1" applyBorder="1" applyAlignment="1">
      <alignment vertical="center"/>
    </xf>
    <xf numFmtId="0" fontId="7" fillId="0" borderId="0" xfId="2" applyFont="1" applyFill="1"/>
    <xf numFmtId="0" fontId="7" fillId="0" borderId="0" xfId="2" applyNumberFormat="1" applyFont="1" applyFill="1" applyAlignment="1">
      <alignment vertical="center"/>
    </xf>
    <xf numFmtId="0" fontId="7" fillId="0" borderId="0" xfId="2" applyFont="1" applyFill="1" applyAlignment="1">
      <alignment wrapText="1"/>
    </xf>
    <xf numFmtId="0" fontId="7" fillId="0" borderId="0" xfId="2" applyFont="1" applyFill="1" applyAlignment="1">
      <alignment horizontal="center" vertical="center"/>
    </xf>
    <xf numFmtId="164" fontId="12" fillId="0" borderId="1" xfId="4" applyNumberFormat="1" applyFont="1" applyFill="1" applyBorder="1" applyAlignment="1">
      <alignment horizontal="center" vertical="center"/>
    </xf>
    <xf numFmtId="164" fontId="11" fillId="0" borderId="1" xfId="3" applyNumberFormat="1" applyFont="1" applyFill="1" applyBorder="1" applyAlignment="1">
      <alignment horizontal="center" vertical="center"/>
    </xf>
    <xf numFmtId="164" fontId="9" fillId="0" borderId="1" xfId="2" applyNumberFormat="1" applyFont="1" applyFill="1" applyBorder="1" applyAlignment="1">
      <alignment horizontal="center" vertical="center" wrapText="1"/>
    </xf>
    <xf numFmtId="164" fontId="11" fillId="0" borderId="1" xfId="5" applyNumberFormat="1" applyFont="1" applyFill="1" applyBorder="1" applyAlignment="1">
      <alignment horizontal="center" vertical="center"/>
    </xf>
    <xf numFmtId="164" fontId="11" fillId="0" borderId="1" xfId="4" applyNumberFormat="1" applyFont="1" applyFill="1" applyBorder="1" applyAlignment="1">
      <alignment vertical="center" wrapText="1"/>
    </xf>
    <xf numFmtId="10" fontId="11" fillId="0" borderId="1" xfId="5" applyNumberFormat="1" applyFont="1" applyFill="1" applyBorder="1" applyAlignment="1">
      <alignment horizontal="center" vertical="center" wrapText="1"/>
    </xf>
    <xf numFmtId="0" fontId="11" fillId="0" borderId="0" xfId="2" applyFont="1" applyFill="1" applyAlignment="1">
      <alignment vertical="center"/>
    </xf>
    <xf numFmtId="0" fontId="11" fillId="0" borderId="0" xfId="2" applyNumberFormat="1" applyFont="1" applyFill="1" applyAlignment="1">
      <alignment vertical="center"/>
    </xf>
    <xf numFmtId="164" fontId="12" fillId="0" borderId="0" xfId="4" applyFont="1" applyFill="1" applyAlignment="1">
      <alignment vertical="center"/>
    </xf>
    <xf numFmtId="164" fontId="12" fillId="0" borderId="0" xfId="4" applyFont="1" applyFill="1" applyAlignment="1">
      <alignment horizontal="center" vertical="center"/>
    </xf>
    <xf numFmtId="167" fontId="11" fillId="0" borderId="5" xfId="2" applyNumberFormat="1" applyFont="1" applyFill="1" applyBorder="1" applyAlignment="1">
      <alignment horizontal="center" vertical="center"/>
    </xf>
    <xf numFmtId="164" fontId="12" fillId="0" borderId="1" xfId="4" applyNumberFormat="1" applyFont="1" applyFill="1" applyBorder="1" applyAlignment="1">
      <alignment vertical="center" wrapText="1"/>
    </xf>
    <xf numFmtId="0" fontId="7" fillId="0" borderId="0" xfId="2" applyFont="1" applyFill="1" applyAlignment="1">
      <alignment vertical="center"/>
    </xf>
    <xf numFmtId="0" fontId="7" fillId="0" borderId="0" xfId="2" applyFont="1" applyFill="1" applyAlignment="1">
      <alignment vertical="center" wrapText="1"/>
    </xf>
    <xf numFmtId="164" fontId="1" fillId="0" borderId="0" xfId="4" applyFont="1" applyFill="1" applyAlignment="1">
      <alignment vertical="center"/>
    </xf>
    <xf numFmtId="164" fontId="1" fillId="0" borderId="0" xfId="4" applyFont="1" applyFill="1" applyAlignment="1">
      <alignment horizontal="center" vertical="center"/>
    </xf>
    <xf numFmtId="164" fontId="7" fillId="0" borderId="0" xfId="2" applyNumberFormat="1" applyFont="1" applyFill="1" applyAlignment="1">
      <alignment vertical="center"/>
    </xf>
    <xf numFmtId="166" fontId="12" fillId="0" borderId="1" xfId="4" applyNumberFormat="1" applyFont="1" applyFill="1" applyBorder="1" applyAlignment="1">
      <alignment horizontal="right" vertical="center"/>
    </xf>
    <xf numFmtId="166" fontId="11" fillId="0" borderId="1" xfId="4" applyNumberFormat="1" applyFont="1" applyFill="1" applyBorder="1" applyAlignment="1">
      <alignment horizontal="right" vertical="center"/>
    </xf>
    <xf numFmtId="0" fontId="11" fillId="0" borderId="1" xfId="4" applyNumberFormat="1" applyFont="1" applyFill="1" applyBorder="1" applyAlignment="1">
      <alignment horizontal="center" vertical="center" wrapText="1"/>
    </xf>
    <xf numFmtId="0" fontId="11" fillId="0" borderId="2" xfId="4" applyNumberFormat="1" applyFont="1" applyFill="1" applyBorder="1" applyAlignment="1">
      <alignment vertical="center"/>
    </xf>
    <xf numFmtId="0" fontId="11" fillId="0" borderId="2" xfId="4" applyNumberFormat="1" applyFont="1" applyFill="1" applyBorder="1" applyAlignment="1">
      <alignment horizontal="center" vertical="center" wrapText="1"/>
    </xf>
    <xf numFmtId="166" fontId="11" fillId="0" borderId="1" xfId="2" applyNumberFormat="1" applyFont="1" applyFill="1" applyBorder="1" applyAlignment="1">
      <alignment horizontal="center" vertical="center" wrapText="1"/>
    </xf>
    <xf numFmtId="0" fontId="11" fillId="0" borderId="1" xfId="4" applyNumberFormat="1" applyFont="1" applyFill="1" applyBorder="1" applyAlignment="1">
      <alignment vertical="center"/>
    </xf>
    <xf numFmtId="0" fontId="7" fillId="0" borderId="0" xfId="2" applyNumberFormat="1" applyFont="1" applyFill="1"/>
    <xf numFmtId="0" fontId="11" fillId="0" borderId="1" xfId="3" applyFont="1" applyFill="1" applyBorder="1" applyAlignment="1">
      <alignment vertical="center" wrapText="1"/>
    </xf>
    <xf numFmtId="10" fontId="11" fillId="0" borderId="1" xfId="4" applyNumberFormat="1" applyFont="1" applyFill="1" applyBorder="1" applyAlignment="1">
      <alignment horizontal="center" vertical="center"/>
    </xf>
    <xf numFmtId="0" fontId="11" fillId="0" borderId="1" xfId="2" applyFont="1" applyFill="1" applyBorder="1" applyAlignment="1">
      <alignment horizontal="center" vertical="center" wrapText="1"/>
    </xf>
    <xf numFmtId="164" fontId="11" fillId="0" borderId="1" xfId="4" applyFont="1" applyFill="1" applyBorder="1" applyAlignment="1">
      <alignment vertical="center"/>
    </xf>
    <xf numFmtId="164" fontId="11" fillId="0" borderId="1" xfId="4" applyFont="1" applyFill="1" applyBorder="1" applyAlignment="1">
      <alignment horizontal="right" vertical="center"/>
    </xf>
    <xf numFmtId="164" fontId="11" fillId="0" borderId="1" xfId="4" applyFont="1" applyFill="1" applyBorder="1" applyAlignment="1">
      <alignment horizontal="center" vertical="center" wrapText="1"/>
    </xf>
    <xf numFmtId="166" fontId="12" fillId="0" borderId="1" xfId="4" applyNumberFormat="1" applyFont="1" applyFill="1" applyBorder="1" applyAlignment="1">
      <alignment horizontal="center" vertical="center"/>
    </xf>
    <xf numFmtId="0" fontId="9" fillId="0" borderId="1" xfId="3" applyFont="1" applyFill="1" applyBorder="1" applyAlignment="1">
      <alignment vertical="center" wrapText="1"/>
    </xf>
    <xf numFmtId="0" fontId="11" fillId="0" borderId="5" xfId="3" applyFont="1" applyFill="1" applyBorder="1" applyAlignment="1">
      <alignment vertical="center" wrapText="1"/>
    </xf>
    <xf numFmtId="164" fontId="12" fillId="0" borderId="1" xfId="4" applyFont="1" applyFill="1" applyBorder="1" applyAlignment="1">
      <alignment horizontal="center" vertical="center"/>
    </xf>
    <xf numFmtId="164" fontId="11" fillId="0" borderId="2" xfId="4" applyFont="1" applyFill="1" applyBorder="1" applyAlignment="1">
      <alignment horizontal="center" vertical="center" wrapText="1"/>
    </xf>
    <xf numFmtId="0" fontId="11" fillId="0" borderId="1" xfId="2" applyFont="1" applyFill="1" applyBorder="1" applyAlignment="1">
      <alignment horizontal="left" vertical="center"/>
    </xf>
    <xf numFmtId="166" fontId="11" fillId="0" borderId="1" xfId="4" applyNumberFormat="1" applyFont="1" applyFill="1" applyBorder="1" applyAlignment="1">
      <alignment horizontal="center" vertical="center" wrapText="1"/>
    </xf>
    <xf numFmtId="166"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166" fontId="11" fillId="0" borderId="2" xfId="4" applyNumberFormat="1" applyFont="1" applyFill="1" applyBorder="1" applyAlignment="1">
      <alignment horizontal="center" vertical="center" wrapText="1"/>
    </xf>
    <xf numFmtId="164" fontId="11" fillId="0" borderId="10" xfId="4" applyFont="1" applyFill="1" applyBorder="1" applyAlignment="1">
      <alignment horizontal="center" vertical="center" wrapText="1"/>
    </xf>
    <xf numFmtId="0" fontId="19" fillId="0" borderId="0" xfId="6" applyFill="1"/>
    <xf numFmtId="0" fontId="12" fillId="0" borderId="1" xfId="0" applyFont="1" applyBorder="1" applyAlignment="1">
      <alignment horizontal="left" vertical="center" wrapText="1"/>
    </xf>
    <xf numFmtId="0" fontId="10" fillId="0" borderId="1" xfId="0" applyFont="1" applyBorder="1" applyAlignment="1">
      <alignment horizontal="center" vertical="center" wrapText="1"/>
    </xf>
    <xf numFmtId="0" fontId="7" fillId="0" borderId="1" xfId="2" applyFont="1" applyBorder="1"/>
    <xf numFmtId="0" fontId="7" fillId="4" borderId="0" xfId="2" applyFont="1" applyFill="1"/>
    <xf numFmtId="2" fontId="12" fillId="0" borderId="1" xfId="0" applyNumberFormat="1" applyFont="1" applyBorder="1" applyAlignment="1">
      <alignment vertical="center" wrapText="1"/>
    </xf>
    <xf numFmtId="2" fontId="3" fillId="0" borderId="1" xfId="0" applyNumberFormat="1" applyFont="1" applyBorder="1" applyAlignment="1">
      <alignment horizontal="center" vertical="center" wrapText="1"/>
    </xf>
    <xf numFmtId="0" fontId="11" fillId="0" borderId="1" xfId="4" applyNumberFormat="1" applyFont="1" applyBorder="1" applyAlignment="1">
      <alignment horizontal="center" vertical="center" wrapText="1"/>
    </xf>
    <xf numFmtId="167" fontId="11" fillId="0" borderId="1" xfId="2" applyNumberFormat="1" applyFont="1" applyFill="1" applyBorder="1" applyAlignment="1">
      <alignment horizontal="center" vertical="center"/>
    </xf>
    <xf numFmtId="164" fontId="11" fillId="0" borderId="1" xfId="4" applyNumberFormat="1" applyFont="1" applyFill="1" applyBorder="1" applyAlignment="1">
      <alignment horizontal="center" vertical="center" wrapText="1"/>
    </xf>
    <xf numFmtId="2" fontId="10" fillId="0" borderId="1" xfId="0" applyNumberFormat="1" applyFont="1" applyBorder="1" applyAlignment="1">
      <alignment vertical="center" wrapText="1"/>
    </xf>
    <xf numFmtId="2" fontId="0" fillId="0" borderId="0" xfId="0" applyNumberFormat="1"/>
    <xf numFmtId="0" fontId="12"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2" fillId="0" borderId="1" xfId="0" applyFont="1" applyBorder="1" applyAlignment="1">
      <alignment horizontal="left" vertical="center" wrapText="1"/>
    </xf>
    <xf numFmtId="0" fontId="10" fillId="0" borderId="1" xfId="0" applyFont="1" applyBorder="1" applyAlignment="1">
      <alignment horizontal="center" vertical="center" wrapText="1"/>
    </xf>
    <xf numFmtId="0" fontId="0" fillId="0" borderId="0" xfId="0"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Fill="1" applyBorder="1" applyAlignment="1">
      <alignment horizontal="center" vertical="center"/>
    </xf>
    <xf numFmtId="165" fontId="12" fillId="0" borderId="1" xfId="0" applyNumberFormat="1" applyFont="1" applyBorder="1" applyAlignment="1">
      <alignment horizontal="center" vertical="center" wrapText="1"/>
    </xf>
    <xf numFmtId="164" fontId="19" fillId="0" borderId="1" xfId="6" applyNumberFormat="1" applyBorder="1"/>
    <xf numFmtId="2" fontId="11" fillId="0" borderId="1" xfId="3" applyNumberFormat="1" applyFont="1" applyBorder="1" applyAlignment="1">
      <alignment vertical="center" wrapText="1"/>
    </xf>
    <xf numFmtId="164" fontId="10" fillId="0" borderId="1" xfId="8" applyFont="1" applyBorder="1" applyAlignment="1">
      <alignment vertical="center" wrapText="1"/>
    </xf>
    <xf numFmtId="164" fontId="12" fillId="0" borderId="1" xfId="8" applyFont="1" applyBorder="1" applyAlignment="1">
      <alignment vertical="center" wrapText="1"/>
    </xf>
    <xf numFmtId="164" fontId="3" fillId="0" borderId="1" xfId="8" applyFont="1" applyBorder="1" applyAlignment="1">
      <alignment horizontal="center" vertical="center" wrapText="1"/>
    </xf>
    <xf numFmtId="0" fontId="12" fillId="0" borderId="0" xfId="0" applyFont="1" applyAlignment="1">
      <alignment vertical="center"/>
    </xf>
    <xf numFmtId="0" fontId="12" fillId="0" borderId="0" xfId="0" applyFont="1" applyFill="1" applyAlignment="1">
      <alignment vertical="center" wrapText="1"/>
    </xf>
    <xf numFmtId="0" fontId="12" fillId="0" borderId="0" xfId="0" applyFont="1" applyAlignment="1">
      <alignment horizontal="center" vertical="center" wrapText="1"/>
    </xf>
    <xf numFmtId="0" fontId="12" fillId="0" borderId="0" xfId="0" applyFont="1" applyFill="1"/>
    <xf numFmtId="0" fontId="25" fillId="0" borderId="0" xfId="0" applyFont="1" applyAlignment="1">
      <alignment horizontal="center" vertical="center"/>
    </xf>
    <xf numFmtId="2" fontId="12" fillId="0" borderId="0" xfId="0" applyNumberFormat="1" applyFont="1"/>
    <xf numFmtId="165" fontId="12" fillId="0" borderId="0" xfId="0" applyNumberFormat="1" applyFont="1"/>
    <xf numFmtId="0" fontId="12" fillId="0" borderId="0" xfId="0" applyFont="1" applyBorder="1" applyAlignment="1">
      <alignment horizontal="center" vertical="center"/>
    </xf>
    <xf numFmtId="0" fontId="26" fillId="0" borderId="0" xfId="0" applyFont="1" applyBorder="1" applyAlignment="1">
      <alignment vertical="center"/>
    </xf>
    <xf numFmtId="10" fontId="9" fillId="0" borderId="1" xfId="5" applyNumberFormat="1" applyFont="1" applyBorder="1" applyAlignment="1">
      <alignment horizontal="center" vertical="center" wrapText="1"/>
    </xf>
    <xf numFmtId="0" fontId="11" fillId="0" borderId="0" xfId="0" applyFont="1" applyBorder="1" applyAlignment="1">
      <alignment horizontal="center"/>
    </xf>
    <xf numFmtId="0" fontId="11" fillId="0" borderId="0" xfId="0" applyFont="1" applyAlignment="1">
      <alignment horizontal="center" vertical="center" wrapText="1"/>
    </xf>
    <xf numFmtId="10" fontId="11" fillId="0" borderId="0" xfId="5" applyNumberFormat="1" applyFont="1"/>
    <xf numFmtId="165" fontId="11" fillId="0" borderId="0" xfId="0" applyNumberFormat="1" applyFont="1"/>
    <xf numFmtId="0" fontId="26" fillId="0" borderId="0" xfId="0" applyFont="1" applyBorder="1" applyAlignment="1">
      <alignment horizontal="center" vertical="center"/>
    </xf>
    <xf numFmtId="10" fontId="9" fillId="0" borderId="1" xfId="5" applyNumberFormat="1" applyFont="1" applyBorder="1" applyAlignment="1">
      <alignment horizontal="center" vertical="center"/>
    </xf>
    <xf numFmtId="9" fontId="11" fillId="0" borderId="0" xfId="5" applyFont="1" applyAlignment="1">
      <alignment horizontal="center" vertical="center" wrapText="1"/>
    </xf>
    <xf numFmtId="168" fontId="11" fillId="0" borderId="0" xfId="5" applyNumberFormat="1" applyFont="1"/>
    <xf numFmtId="0" fontId="0" fillId="0" borderId="0" xfId="0" applyFont="1" applyAlignment="1">
      <alignment horizontal="center" vertical="center"/>
    </xf>
    <xf numFmtId="0" fontId="3" fillId="5" borderId="1" xfId="0" applyFont="1" applyFill="1" applyBorder="1" applyAlignment="1">
      <alignment horizontal="center" vertical="center" wrapText="1"/>
    </xf>
    <xf numFmtId="9" fontId="0" fillId="0" borderId="0" xfId="0" applyNumberFormat="1" applyFont="1" applyAlignment="1">
      <alignment horizontal="center" vertical="center"/>
    </xf>
    <xf numFmtId="168" fontId="0" fillId="0" borderId="0" xfId="5" applyNumberFormat="1" applyFont="1" applyAlignment="1">
      <alignment horizontal="center" vertical="center"/>
    </xf>
    <xf numFmtId="0" fontId="3" fillId="6" borderId="1" xfId="0" applyFont="1" applyFill="1" applyBorder="1" applyAlignment="1">
      <alignment horizontal="center" vertical="center" wrapText="1"/>
    </xf>
    <xf numFmtId="0" fontId="3" fillId="6" borderId="1" xfId="0" applyFont="1" applyFill="1" applyBorder="1" applyAlignment="1">
      <alignment horizontal="center" vertical="center"/>
    </xf>
    <xf numFmtId="165" fontId="12" fillId="0" borderId="1" xfId="0" applyNumberFormat="1" applyFont="1" applyFill="1" applyBorder="1" applyAlignment="1">
      <alignment horizontal="center" vertical="center" wrapText="1"/>
    </xf>
    <xf numFmtId="169" fontId="12" fillId="0" borderId="1" xfId="0" applyNumberFormat="1" applyFont="1" applyFill="1" applyBorder="1" applyAlignment="1">
      <alignment horizontal="center" vertical="center" wrapText="1"/>
    </xf>
    <xf numFmtId="10" fontId="12" fillId="0" borderId="1" xfId="5" applyNumberFormat="1" applyFont="1" applyFill="1" applyBorder="1" applyAlignment="1">
      <alignment horizontal="center" vertical="center" wrapText="1"/>
    </xf>
    <xf numFmtId="10" fontId="12" fillId="0" borderId="1" xfId="5" applyNumberFormat="1" applyFont="1" applyBorder="1"/>
    <xf numFmtId="165" fontId="12" fillId="7" borderId="1" xfId="0" applyNumberFormat="1" applyFont="1" applyFill="1" applyBorder="1" applyAlignment="1">
      <alignment horizontal="center" vertical="center" wrapText="1"/>
    </xf>
    <xf numFmtId="0" fontId="12" fillId="0" borderId="0" xfId="0" applyFont="1" applyBorder="1"/>
    <xf numFmtId="10" fontId="12" fillId="0" borderId="0" xfId="5" applyNumberFormat="1" applyFont="1"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0" xfId="0" applyBorder="1"/>
    <xf numFmtId="0" fontId="0" fillId="0" borderId="19" xfId="0" applyBorder="1"/>
    <xf numFmtId="0" fontId="0" fillId="0" borderId="20" xfId="0" applyBorder="1"/>
    <xf numFmtId="0" fontId="0" fillId="0" borderId="21" xfId="0" applyBorder="1"/>
    <xf numFmtId="0" fontId="0" fillId="0" borderId="22" xfId="0" applyBorder="1"/>
    <xf numFmtId="0" fontId="11" fillId="0" borderId="1" xfId="0" applyFont="1" applyFill="1" applyBorder="1" applyAlignment="1">
      <alignment horizontal="center" vertical="center"/>
    </xf>
    <xf numFmtId="0" fontId="28" fillId="0" borderId="1" xfId="0" applyFont="1" applyFill="1" applyBorder="1" applyAlignment="1">
      <alignment horizontal="left" vertical="center" wrapText="1"/>
    </xf>
    <xf numFmtId="0" fontId="11" fillId="0" borderId="1" xfId="0" applyFont="1" applyBorder="1" applyAlignment="1">
      <alignment vertical="center" wrapText="1"/>
    </xf>
    <xf numFmtId="0" fontId="12" fillId="0" borderId="1" xfId="3" applyFont="1" applyFill="1" applyBorder="1" applyAlignment="1">
      <alignment horizontal="center" vertical="center" wrapText="1"/>
    </xf>
    <xf numFmtId="0" fontId="0" fillId="0" borderId="0" xfId="0" applyFont="1" applyBorder="1"/>
    <xf numFmtId="0" fontId="0" fillId="0" borderId="0" xfId="0" applyFont="1"/>
    <xf numFmtId="0" fontId="12" fillId="0" borderId="1" xfId="0" applyFont="1" applyFill="1" applyBorder="1" applyAlignment="1">
      <alignment horizontal="left" vertical="center"/>
    </xf>
    <xf numFmtId="0" fontId="11" fillId="0" borderId="1" xfId="0" applyFont="1" applyBorder="1" applyAlignment="1">
      <alignment horizontal="center" vertical="center" wrapText="1"/>
    </xf>
    <xf numFmtId="0" fontId="11" fillId="0" borderId="1" xfId="0" quotePrefix="1" applyFont="1" applyFill="1" applyBorder="1" applyAlignment="1">
      <alignment horizontal="center" vertical="center" wrapText="1"/>
    </xf>
    <xf numFmtId="0" fontId="12" fillId="0" borderId="0" xfId="0" applyFont="1" applyAlignment="1">
      <alignment vertical="center" wrapText="1"/>
    </xf>
    <xf numFmtId="0" fontId="12" fillId="0" borderId="0" xfId="0" applyFont="1" applyAlignment="1">
      <alignment horizontal="center"/>
    </xf>
    <xf numFmtId="170" fontId="29" fillId="2" borderId="1" xfId="0" applyNumberFormat="1" applyFont="1" applyFill="1" applyBorder="1" applyAlignment="1">
      <alignment horizontal="center" vertical="center"/>
    </xf>
    <xf numFmtId="170" fontId="29" fillId="2" borderId="1" xfId="0" applyNumberFormat="1" applyFont="1" applyFill="1" applyBorder="1" applyAlignment="1">
      <alignment horizontal="center" vertical="center" wrapText="1"/>
    </xf>
    <xf numFmtId="0" fontId="29" fillId="0" borderId="1" xfId="0" applyFont="1" applyBorder="1" applyAlignment="1">
      <alignment wrapText="1"/>
    </xf>
    <xf numFmtId="4" fontId="30" fillId="0" borderId="1" xfId="0" applyNumberFormat="1" applyFont="1" applyFill="1" applyBorder="1" applyAlignment="1">
      <alignment horizontal="center" vertical="center"/>
    </xf>
    <xf numFmtId="4" fontId="30" fillId="0" borderId="1" xfId="0" applyNumberFormat="1" applyFont="1" applyFill="1" applyBorder="1" applyAlignment="1">
      <alignment horizontal="center" vertical="center" wrapText="1"/>
    </xf>
    <xf numFmtId="171" fontId="30" fillId="0" borderId="1" xfId="5" applyNumberFormat="1" applyFont="1" applyFill="1" applyBorder="1" applyAlignment="1">
      <alignment horizontal="center" vertical="center"/>
    </xf>
    <xf numFmtId="171" fontId="31" fillId="0" borderId="1" xfId="5" applyNumberFormat="1" applyFont="1" applyFill="1" applyBorder="1" applyAlignment="1">
      <alignment horizontal="center" vertical="center"/>
    </xf>
    <xf numFmtId="0" fontId="3" fillId="0" borderId="1" xfId="0" applyFont="1" applyBorder="1"/>
    <xf numFmtId="4" fontId="32" fillId="0" borderId="1" xfId="0" applyNumberFormat="1" applyFont="1" applyFill="1" applyBorder="1" applyAlignment="1">
      <alignment horizontal="center" vertical="center"/>
    </xf>
    <xf numFmtId="0" fontId="3" fillId="0" borderId="1" xfId="0" applyFont="1" applyBorder="1" applyAlignment="1">
      <alignment horizontal="center" vertical="center"/>
    </xf>
    <xf numFmtId="9" fontId="3" fillId="0" borderId="1" xfId="5" applyFont="1" applyBorder="1" applyAlignment="1">
      <alignment horizontal="center" vertical="center"/>
    </xf>
    <xf numFmtId="16" fontId="0" fillId="0" borderId="0" xfId="0" applyNumberFormat="1"/>
    <xf numFmtId="0" fontId="33" fillId="0" borderId="0" xfId="0" applyFont="1"/>
    <xf numFmtId="164" fontId="10" fillId="2" borderId="1" xfId="4" applyFont="1" applyFill="1" applyBorder="1" applyAlignment="1">
      <alignment horizontal="center" vertical="center" wrapText="1"/>
    </xf>
    <xf numFmtId="0" fontId="0" fillId="0" borderId="0" xfId="0" applyFont="1" applyAlignment="1">
      <alignment horizontal="center" vertical="center" wrapText="1"/>
    </xf>
    <xf numFmtId="0" fontId="12" fillId="4" borderId="0" xfId="0" applyFont="1" applyFill="1"/>
    <xf numFmtId="0" fontId="0" fillId="0" borderId="0" xfId="0" applyAlignment="1">
      <alignment vertical="center" wrapText="1"/>
    </xf>
    <xf numFmtId="0" fontId="12" fillId="4" borderId="0" xfId="0" applyFont="1" applyFill="1" applyAlignment="1">
      <alignment vertical="center"/>
    </xf>
    <xf numFmtId="0" fontId="13" fillId="0" borderId="7" xfId="0" applyFont="1" applyBorder="1" applyAlignment="1">
      <alignment horizontal="left"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xf>
    <xf numFmtId="0" fontId="16" fillId="0" borderId="1" xfId="0" applyFont="1" applyBorder="1" applyAlignment="1">
      <alignment horizontal="center" vertical="center"/>
    </xf>
    <xf numFmtId="2" fontId="29" fillId="2" borderId="1" xfId="0" applyNumberFormat="1" applyFont="1" applyFill="1" applyBorder="1" applyAlignment="1">
      <alignment horizontal="center" vertical="center"/>
    </xf>
    <xf numFmtId="2" fontId="29" fillId="2" borderId="1" xfId="0" applyNumberFormat="1" applyFont="1" applyFill="1" applyBorder="1" applyAlignment="1">
      <alignment horizontal="center" vertical="center" wrapText="1"/>
    </xf>
    <xf numFmtId="0" fontId="29" fillId="2" borderId="1" xfId="0" applyFont="1" applyFill="1" applyBorder="1" applyAlignment="1">
      <alignment horizontal="center" vertical="center"/>
    </xf>
    <xf numFmtId="0" fontId="26" fillId="0" borderId="1" xfId="0" applyFont="1" applyBorder="1" applyAlignment="1">
      <alignment horizontal="center" vertical="center"/>
    </xf>
    <xf numFmtId="0" fontId="26" fillId="0" borderId="5" xfId="0" applyFont="1" applyBorder="1" applyAlignment="1">
      <alignment horizontal="center" vertical="center"/>
    </xf>
    <xf numFmtId="0" fontId="9"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10" fillId="2" borderId="1" xfId="0" applyFont="1" applyFill="1" applyBorder="1" applyAlignment="1">
      <alignment horizontal="center" vertical="center" wrapText="1"/>
    </xf>
    <xf numFmtId="164" fontId="12" fillId="0" borderId="5" xfId="0" applyNumberFormat="1" applyFont="1" applyBorder="1" applyAlignment="1">
      <alignment horizontal="left" vertical="center" wrapText="1"/>
    </xf>
    <xf numFmtId="0" fontId="12" fillId="0" borderId="6" xfId="0" applyFont="1" applyBorder="1" applyAlignment="1">
      <alignment horizontal="left"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4" xfId="0" applyFont="1" applyFill="1" applyBorder="1" applyAlignment="1">
      <alignment horizontal="center" vertical="center"/>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1" xfId="0" applyFont="1" applyBorder="1" applyAlignment="1">
      <alignment horizontal="left" vertical="center" wrapText="1"/>
    </xf>
    <xf numFmtId="164" fontId="10" fillId="2" borderId="1" xfId="4" applyFont="1" applyFill="1" applyBorder="1" applyAlignment="1">
      <alignment horizontal="center" vertical="center" wrapText="1"/>
    </xf>
    <xf numFmtId="0" fontId="22" fillId="0" borderId="1" xfId="2" applyFont="1" applyBorder="1" applyAlignment="1">
      <alignment horizontal="center" vertical="center"/>
    </xf>
    <xf numFmtId="167" fontId="11" fillId="0" borderId="5" xfId="3" applyNumberFormat="1" applyFont="1" applyBorder="1" applyAlignment="1">
      <alignment horizontal="center" vertical="center"/>
    </xf>
    <xf numFmtId="167" fontId="11" fillId="0" borderId="8" xfId="3" applyNumberFormat="1" applyFont="1" applyBorder="1" applyAlignment="1">
      <alignment horizontal="center" vertical="center"/>
    </xf>
    <xf numFmtId="167" fontId="11" fillId="0" borderId="6" xfId="3" applyNumberFormat="1" applyFont="1" applyBorder="1" applyAlignment="1">
      <alignment horizontal="center" vertical="center"/>
    </xf>
    <xf numFmtId="0" fontId="11" fillId="0" borderId="5" xfId="3" applyNumberFormat="1" applyFont="1" applyBorder="1" applyAlignment="1">
      <alignment horizontal="left" vertical="center" wrapText="1"/>
    </xf>
    <xf numFmtId="0" fontId="11" fillId="0" borderId="8" xfId="3" applyNumberFormat="1" applyFont="1" applyBorder="1" applyAlignment="1">
      <alignment horizontal="left" vertical="center" wrapText="1"/>
    </xf>
    <xf numFmtId="0" fontId="11" fillId="0" borderId="6" xfId="3" applyNumberFormat="1" applyFont="1" applyBorder="1" applyAlignment="1">
      <alignment horizontal="left" vertical="center" wrapText="1"/>
    </xf>
    <xf numFmtId="0" fontId="9" fillId="2" borderId="5" xfId="2" applyFont="1" applyFill="1" applyBorder="1" applyAlignment="1">
      <alignment horizontal="center" vertical="center"/>
    </xf>
    <xf numFmtId="0" fontId="9" fillId="2" borderId="6" xfId="2" applyFont="1" applyFill="1" applyBorder="1" applyAlignment="1">
      <alignment horizontal="center" vertical="center"/>
    </xf>
    <xf numFmtId="0" fontId="9" fillId="2" borderId="5" xfId="2" applyNumberFormat="1" applyFont="1" applyFill="1" applyBorder="1" applyAlignment="1">
      <alignment horizontal="center" vertical="center" wrapText="1"/>
    </xf>
    <xf numFmtId="0" fontId="9" fillId="2" borderId="6" xfId="2" applyNumberFormat="1" applyFont="1" applyFill="1" applyBorder="1" applyAlignment="1">
      <alignment horizontal="center" vertical="center" wrapText="1"/>
    </xf>
    <xf numFmtId="0" fontId="9" fillId="2" borderId="5" xfId="2" applyFont="1" applyFill="1" applyBorder="1" applyAlignment="1">
      <alignment horizontal="center" vertical="center" wrapText="1"/>
    </xf>
    <xf numFmtId="0" fontId="9" fillId="2" borderId="6" xfId="2" applyFont="1" applyFill="1" applyBorder="1" applyAlignment="1">
      <alignment horizontal="center" vertical="center" wrapText="1"/>
    </xf>
    <xf numFmtId="0" fontId="10" fillId="2" borderId="5" xfId="4" applyNumberFormat="1" applyFont="1" applyFill="1" applyBorder="1" applyAlignment="1">
      <alignment horizontal="center" vertical="center" wrapText="1"/>
    </xf>
    <xf numFmtId="0" fontId="10" fillId="2" borderId="6" xfId="4" applyNumberFormat="1" applyFont="1" applyFill="1" applyBorder="1" applyAlignment="1">
      <alignment horizontal="center" vertical="center" wrapText="1"/>
    </xf>
    <xf numFmtId="0" fontId="11" fillId="0" borderId="5" xfId="4" applyNumberFormat="1" applyFont="1" applyBorder="1" applyAlignment="1">
      <alignment horizontal="center" vertical="center" wrapText="1"/>
    </xf>
    <xf numFmtId="0" fontId="11" fillId="0" borderId="8" xfId="4" applyNumberFormat="1" applyFont="1" applyBorder="1" applyAlignment="1">
      <alignment horizontal="center" vertical="center" wrapText="1"/>
    </xf>
    <xf numFmtId="0" fontId="11" fillId="0" borderId="6" xfId="4" applyNumberFormat="1" applyFont="1" applyBorder="1" applyAlignment="1">
      <alignment horizontal="center" vertical="center" wrapText="1"/>
    </xf>
    <xf numFmtId="164" fontId="10" fillId="2" borderId="2" xfId="4" applyFont="1" applyFill="1" applyBorder="1" applyAlignment="1">
      <alignment horizontal="center" vertical="center" wrapText="1"/>
    </xf>
    <xf numFmtId="164" fontId="10" fillId="2" borderId="3" xfId="4" applyFont="1" applyFill="1" applyBorder="1" applyAlignment="1">
      <alignment horizontal="center" vertical="center" wrapText="1"/>
    </xf>
    <xf numFmtId="164" fontId="10" fillId="2" borderId="4" xfId="4" applyFont="1" applyFill="1" applyBorder="1" applyAlignment="1">
      <alignment horizontal="center" vertical="center" wrapText="1"/>
    </xf>
    <xf numFmtId="164" fontId="8" fillId="0" borderId="2" xfId="2" applyNumberFormat="1" applyFont="1" applyBorder="1" applyAlignment="1">
      <alignment horizontal="center" vertical="center"/>
    </xf>
    <xf numFmtId="164" fontId="8" fillId="0" borderId="3" xfId="2" applyNumberFormat="1" applyFont="1" applyBorder="1" applyAlignment="1">
      <alignment horizontal="center" vertical="center"/>
    </xf>
    <xf numFmtId="164" fontId="8" fillId="0" borderId="4" xfId="2" applyNumberFormat="1" applyFont="1" applyBorder="1" applyAlignment="1">
      <alignment horizontal="center" vertical="center"/>
    </xf>
    <xf numFmtId="167" fontId="11" fillId="0" borderId="5" xfId="2" applyNumberFormat="1" applyFont="1" applyFill="1" applyBorder="1" applyAlignment="1">
      <alignment horizontal="center" vertical="center"/>
    </xf>
    <xf numFmtId="167" fontId="11" fillId="0" borderId="8" xfId="2" applyNumberFormat="1" applyFont="1" applyFill="1" applyBorder="1" applyAlignment="1">
      <alignment horizontal="center" vertical="center"/>
    </xf>
    <xf numFmtId="167" fontId="11" fillId="0" borderId="6" xfId="2" applyNumberFormat="1" applyFont="1" applyFill="1" applyBorder="1" applyAlignment="1">
      <alignment horizontal="center" vertical="center"/>
    </xf>
    <xf numFmtId="167" fontId="11" fillId="0" borderId="5" xfId="3" applyNumberFormat="1" applyFont="1" applyFill="1" applyBorder="1" applyAlignment="1">
      <alignment horizontal="center" vertical="center"/>
    </xf>
    <xf numFmtId="167" fontId="11" fillId="0" borderId="8" xfId="3" applyNumberFormat="1" applyFont="1" applyFill="1" applyBorder="1" applyAlignment="1">
      <alignment horizontal="center" vertical="center"/>
    </xf>
    <xf numFmtId="167" fontId="11" fillId="0" borderId="6" xfId="3" applyNumberFormat="1" applyFont="1" applyFill="1" applyBorder="1" applyAlignment="1">
      <alignment horizontal="center" vertical="center"/>
    </xf>
    <xf numFmtId="164" fontId="8" fillId="0" borderId="2" xfId="2" applyNumberFormat="1" applyFont="1" applyFill="1" applyBorder="1" applyAlignment="1">
      <alignment horizontal="center" vertical="center"/>
    </xf>
    <xf numFmtId="164" fontId="8" fillId="0" borderId="3" xfId="2" applyNumberFormat="1" applyFont="1" applyFill="1" applyBorder="1" applyAlignment="1">
      <alignment horizontal="center" vertical="center"/>
    </xf>
    <xf numFmtId="164" fontId="8" fillId="0" borderId="4" xfId="2" applyNumberFormat="1" applyFont="1" applyFill="1" applyBorder="1" applyAlignment="1">
      <alignment horizontal="center" vertical="center"/>
    </xf>
    <xf numFmtId="0" fontId="11" fillId="0" borderId="5" xfId="2" applyNumberFormat="1" applyFont="1" applyFill="1" applyBorder="1" applyAlignment="1">
      <alignment horizontal="left" vertical="center" wrapText="1"/>
    </xf>
    <xf numFmtId="0" fontId="11" fillId="0" borderId="6" xfId="2" applyNumberFormat="1" applyFont="1" applyFill="1" applyBorder="1" applyAlignment="1">
      <alignment horizontal="left" vertical="center" wrapText="1"/>
    </xf>
    <xf numFmtId="0" fontId="11" fillId="0" borderId="1" xfId="4" applyNumberFormat="1" applyFont="1" applyBorder="1" applyAlignment="1">
      <alignment horizontal="center" vertical="center" wrapText="1"/>
    </xf>
    <xf numFmtId="0" fontId="11" fillId="0" borderId="1" xfId="4" applyNumberFormat="1" applyFont="1" applyBorder="1" applyAlignment="1">
      <alignment horizontal="center" vertical="center"/>
    </xf>
    <xf numFmtId="0" fontId="9" fillId="2" borderId="1" xfId="2" applyFont="1" applyFill="1" applyBorder="1" applyAlignment="1">
      <alignment horizontal="center" vertical="center" wrapText="1"/>
    </xf>
    <xf numFmtId="164" fontId="8" fillId="0" borderId="1" xfId="2" applyNumberFormat="1" applyFont="1" applyFill="1" applyBorder="1" applyAlignment="1">
      <alignment horizontal="center" vertical="center"/>
    </xf>
    <xf numFmtId="167" fontId="11" fillId="0" borderId="1" xfId="3" applyNumberFormat="1" applyFont="1" applyFill="1" applyBorder="1" applyAlignment="1">
      <alignment horizontal="center" vertical="center"/>
    </xf>
    <xf numFmtId="167" fontId="11" fillId="0" borderId="1" xfId="2" applyNumberFormat="1" applyFont="1" applyFill="1" applyBorder="1" applyAlignment="1">
      <alignment horizontal="center" vertical="center"/>
    </xf>
    <xf numFmtId="167" fontId="11" fillId="0" borderId="5" xfId="2" applyNumberFormat="1" applyFont="1" applyFill="1" applyBorder="1" applyAlignment="1">
      <alignment horizontal="center" vertical="center" wrapText="1"/>
    </xf>
    <xf numFmtId="167" fontId="11" fillId="0" borderId="6" xfId="2" applyNumberFormat="1" applyFont="1" applyFill="1" applyBorder="1" applyAlignment="1">
      <alignment horizontal="center" vertical="center" wrapText="1"/>
    </xf>
    <xf numFmtId="167" fontId="11" fillId="0" borderId="8" xfId="2" applyNumberFormat="1" applyFont="1" applyFill="1" applyBorder="1" applyAlignment="1">
      <alignment horizontal="center" vertical="center" wrapText="1"/>
    </xf>
    <xf numFmtId="166" fontId="8" fillId="0" borderId="1" xfId="2" applyNumberFormat="1" applyFont="1" applyFill="1" applyBorder="1" applyAlignment="1">
      <alignment horizontal="center" vertical="center"/>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8" fillId="0" borderId="4" xfId="2" applyFont="1" applyBorder="1" applyAlignment="1">
      <alignment horizontal="center" vertical="center"/>
    </xf>
    <xf numFmtId="0" fontId="11" fillId="0" borderId="1" xfId="2" applyFont="1" applyBorder="1" applyAlignment="1">
      <alignment horizontal="center" vertical="center"/>
    </xf>
    <xf numFmtId="0" fontId="11" fillId="0" borderId="5" xfId="2" applyFont="1" applyBorder="1" applyAlignment="1">
      <alignment horizontal="center" vertical="center"/>
    </xf>
    <xf numFmtId="0" fontId="11" fillId="0" borderId="8" xfId="2" applyFont="1" applyBorder="1" applyAlignment="1">
      <alignment horizontal="center" vertical="center"/>
    </xf>
    <xf numFmtId="0" fontId="11" fillId="0" borderId="6" xfId="2" applyFont="1" applyBorder="1" applyAlignment="1">
      <alignment horizontal="center" vertical="center"/>
    </xf>
    <xf numFmtId="0" fontId="11" fillId="0" borderId="5" xfId="3" applyFont="1" applyBorder="1" applyAlignment="1">
      <alignment horizontal="center" vertical="center"/>
    </xf>
    <xf numFmtId="0" fontId="11" fillId="0" borderId="8" xfId="3" applyFont="1" applyBorder="1" applyAlignment="1">
      <alignment horizontal="center" vertical="center"/>
    </xf>
    <xf numFmtId="0" fontId="11" fillId="0" borderId="6" xfId="3" applyFont="1" applyBorder="1" applyAlignment="1">
      <alignment horizontal="center" vertical="center"/>
    </xf>
    <xf numFmtId="164" fontId="10" fillId="2" borderId="5" xfId="4" applyFont="1" applyFill="1" applyBorder="1" applyAlignment="1">
      <alignment horizontal="center" vertical="center" wrapText="1"/>
    </xf>
    <xf numFmtId="164" fontId="10" fillId="2" borderId="6" xfId="4" applyFont="1" applyFill="1" applyBorder="1" applyAlignment="1">
      <alignment horizontal="center" vertical="center" wrapText="1"/>
    </xf>
    <xf numFmtId="0" fontId="9" fillId="2" borderId="1" xfId="2" applyFont="1" applyFill="1" applyBorder="1" applyAlignment="1">
      <alignment horizontal="center" vertical="center"/>
    </xf>
    <xf numFmtId="0" fontId="8" fillId="0" borderId="2" xfId="2" applyFont="1" applyFill="1" applyBorder="1" applyAlignment="1">
      <alignment horizontal="center" vertical="center"/>
    </xf>
    <xf numFmtId="0" fontId="8" fillId="0" borderId="3" xfId="2" applyFont="1" applyFill="1" applyBorder="1" applyAlignment="1">
      <alignment horizontal="center" vertical="center"/>
    </xf>
    <xf numFmtId="0" fontId="8" fillId="0" borderId="4" xfId="2" applyFont="1" applyFill="1" applyBorder="1" applyAlignment="1">
      <alignment horizontal="center" vertical="center"/>
    </xf>
    <xf numFmtId="164" fontId="11" fillId="0" borderId="5" xfId="4" applyFont="1" applyFill="1" applyBorder="1" applyAlignment="1">
      <alignment horizontal="center" vertical="center" wrapText="1"/>
    </xf>
    <xf numFmtId="164" fontId="11" fillId="0" borderId="8" xfId="4" applyFont="1" applyFill="1" applyBorder="1" applyAlignment="1">
      <alignment horizontal="center" vertical="center" wrapText="1"/>
    </xf>
    <xf numFmtId="164" fontId="11" fillId="0" borderId="6" xfId="4" applyFont="1" applyFill="1" applyBorder="1" applyAlignment="1">
      <alignment horizontal="center" vertical="center" wrapText="1"/>
    </xf>
    <xf numFmtId="0" fontId="10" fillId="2" borderId="2" xfId="4" applyNumberFormat="1" applyFont="1" applyFill="1" applyBorder="1" applyAlignment="1">
      <alignment horizontal="center" vertical="center" wrapText="1"/>
    </xf>
    <xf numFmtId="0" fontId="10" fillId="2" borderId="3" xfId="4" applyNumberFormat="1" applyFont="1" applyFill="1" applyBorder="1" applyAlignment="1">
      <alignment horizontal="center" vertical="center" wrapText="1"/>
    </xf>
    <xf numFmtId="0" fontId="10" fillId="2" borderId="4" xfId="4" applyNumberFormat="1" applyFont="1" applyFill="1" applyBorder="1" applyAlignment="1">
      <alignment horizontal="center" vertical="center" wrapText="1"/>
    </xf>
    <xf numFmtId="164" fontId="11" fillId="0" borderId="12" xfId="4" applyFont="1" applyFill="1" applyBorder="1" applyAlignment="1">
      <alignment horizontal="center" vertical="center" wrapText="1"/>
    </xf>
    <xf numFmtId="164" fontId="11" fillId="0" borderId="11" xfId="4" applyFont="1" applyFill="1" applyBorder="1" applyAlignment="1">
      <alignment horizontal="center" vertical="center" wrapText="1"/>
    </xf>
    <xf numFmtId="164" fontId="11" fillId="0" borderId="10" xfId="4" applyFont="1" applyFill="1" applyBorder="1" applyAlignment="1">
      <alignment horizontal="center" vertical="center" wrapText="1"/>
    </xf>
    <xf numFmtId="0" fontId="11" fillId="0" borderId="5" xfId="2" applyFont="1" applyFill="1" applyBorder="1" applyAlignment="1">
      <alignment horizontal="center" vertical="center"/>
    </xf>
    <xf numFmtId="0" fontId="11" fillId="0" borderId="8" xfId="2" applyFont="1" applyFill="1" applyBorder="1" applyAlignment="1">
      <alignment horizontal="center" vertical="center"/>
    </xf>
    <xf numFmtId="0" fontId="11" fillId="0" borderId="6" xfId="2" applyFont="1" applyFill="1" applyBorder="1" applyAlignment="1">
      <alignment horizontal="center" vertical="center"/>
    </xf>
    <xf numFmtId="1" fontId="11" fillId="0" borderId="5" xfId="3" applyNumberFormat="1" applyFont="1" applyBorder="1" applyAlignment="1">
      <alignment horizontal="center" vertical="center"/>
    </xf>
    <xf numFmtId="1" fontId="11" fillId="0" borderId="8" xfId="3" applyNumberFormat="1" applyFont="1" applyBorder="1" applyAlignment="1">
      <alignment horizontal="center" vertical="center"/>
    </xf>
    <xf numFmtId="1" fontId="11" fillId="0" borderId="6" xfId="3" applyNumberFormat="1" applyFont="1" applyBorder="1" applyAlignment="1">
      <alignment horizontal="center" vertical="center"/>
    </xf>
    <xf numFmtId="164" fontId="11" fillId="0" borderId="5" xfId="4" applyNumberFormat="1" applyFont="1" applyFill="1" applyBorder="1" applyAlignment="1">
      <alignment horizontal="center" vertical="center" wrapText="1"/>
    </xf>
    <xf numFmtId="164" fontId="11" fillId="0" borderId="6" xfId="4" applyNumberFormat="1" applyFont="1" applyFill="1" applyBorder="1" applyAlignment="1">
      <alignment horizontal="center" vertical="center" wrapText="1"/>
    </xf>
    <xf numFmtId="0" fontId="12" fillId="0" borderId="1" xfId="0" applyFont="1" applyFill="1" applyBorder="1" applyAlignment="1">
      <alignment horizontal="center" vertical="center"/>
    </xf>
    <xf numFmtId="164" fontId="15" fillId="2" borderId="2" xfId="4" applyFont="1" applyFill="1" applyBorder="1" applyAlignment="1">
      <alignment horizontal="center" vertical="center" wrapText="1"/>
    </xf>
    <xf numFmtId="164" fontId="15" fillId="2" borderId="3" xfId="4" applyFont="1" applyFill="1" applyBorder="1" applyAlignment="1">
      <alignment horizontal="center" vertical="center" wrapText="1"/>
    </xf>
    <xf numFmtId="164" fontId="15" fillId="2" borderId="4" xfId="4" applyFont="1" applyFill="1" applyBorder="1" applyAlignment="1">
      <alignment horizontal="center" vertical="center" wrapText="1"/>
    </xf>
    <xf numFmtId="0" fontId="10" fillId="0" borderId="1" xfId="0" applyFont="1" applyBorder="1" applyAlignment="1">
      <alignment horizontal="center" vertical="center" wrapText="1"/>
    </xf>
    <xf numFmtId="0" fontId="12" fillId="0" borderId="12"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164" fontId="15" fillId="2" borderId="1" xfId="4" applyFont="1" applyFill="1" applyBorder="1" applyAlignment="1">
      <alignment horizontal="center" vertical="center" wrapText="1"/>
    </xf>
  </cellXfs>
  <cellStyles count="9">
    <cellStyle name="Comma" xfId="8" builtinId="3"/>
    <cellStyle name="Comma 2" xfId="4"/>
    <cellStyle name="Hyperlink" xfId="7" builtinId="8"/>
    <cellStyle name="Normal" xfId="0" builtinId="0"/>
    <cellStyle name="Normal 2" xfId="2"/>
    <cellStyle name="Normal 2 2" xfId="3"/>
    <cellStyle name="Normal 3" xfId="1"/>
    <cellStyle name="Normal 4" xfId="6"/>
    <cellStyle name="Percent" xfId="5" builtinId="5"/>
  </cellStyles>
  <dxfs count="980">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79998168889431442"/>
        </patternFill>
      </fill>
    </dxf>
    <dxf>
      <fill>
        <patternFill>
          <bgColor theme="6" tint="0.3999450666829432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79998168889431442"/>
        </patternFill>
      </fill>
    </dxf>
    <dxf>
      <fill>
        <patternFill>
          <bgColor theme="6" tint="0.3999450666829432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39994506668294322"/>
        </patternFill>
      </fill>
    </dxf>
    <dxf>
      <fill>
        <patternFill>
          <bgColor theme="6" tint="0.7999816888943144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39994506668294322"/>
        </patternFill>
      </fill>
    </dxf>
    <dxf>
      <fill>
        <patternFill>
          <bgColor theme="6" tint="0.7999816888943144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39994506668294322"/>
        </patternFill>
      </fill>
    </dxf>
    <dxf>
      <fill>
        <patternFill>
          <bgColor theme="6" tint="0.7999816888943144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39994506668294322"/>
        </patternFill>
      </fill>
    </dxf>
    <dxf>
      <fill>
        <patternFill>
          <bgColor theme="6" tint="0.7999816888943144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39994506668294322"/>
        </patternFill>
      </fill>
    </dxf>
    <dxf>
      <fill>
        <patternFill>
          <bgColor theme="6" tint="0.7999816888943144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79998168889431442"/>
        </patternFill>
      </fill>
    </dxf>
    <dxf>
      <fill>
        <patternFill>
          <bgColor theme="6" tint="0.39994506668294322"/>
        </patternFill>
      </fill>
    </dxf>
    <dxf>
      <fill>
        <patternFill>
          <bgColor theme="6" tint="0.39994506668294322"/>
        </patternFill>
      </fill>
    </dxf>
    <dxf>
      <fill>
        <patternFill>
          <bgColor theme="6" tint="0.79998168889431442"/>
        </patternFill>
      </fill>
    </dxf>
    <dxf>
      <fill>
        <patternFill>
          <bgColor theme="6" tint="0.79998168889431442"/>
        </patternFill>
      </fill>
    </dxf>
    <dxf>
      <fill>
        <patternFill>
          <bgColor theme="6" tint="0.39994506668294322"/>
        </patternFill>
      </fill>
    </dxf>
    <dxf>
      <fill>
        <patternFill>
          <bgColor theme="6" tint="0.39994506668294322"/>
        </patternFill>
      </fill>
    </dxf>
    <dxf>
      <fill>
        <patternFill>
          <bgColor theme="6" tint="0.79998168889431442"/>
        </patternFill>
      </fill>
    </dxf>
    <dxf>
      <fill>
        <patternFill>
          <bgColor theme="6" tint="0.79998168889431442"/>
        </patternFill>
      </fill>
    </dxf>
    <dxf>
      <fill>
        <patternFill>
          <bgColor theme="6" tint="0.39994506668294322"/>
        </patternFill>
      </fill>
    </dxf>
    <dxf>
      <fill>
        <patternFill>
          <bgColor theme="6" tint="0.39994506668294322"/>
        </patternFill>
      </fill>
    </dxf>
    <dxf>
      <fill>
        <patternFill>
          <bgColor theme="6" tint="0.79998168889431442"/>
        </patternFill>
      </fill>
    </dxf>
    <dxf>
      <fill>
        <patternFill>
          <bgColor theme="6" tint="0.79998168889431442"/>
        </patternFill>
      </fill>
    </dxf>
    <dxf>
      <fill>
        <patternFill>
          <bgColor theme="6" tint="0.39994506668294322"/>
        </patternFill>
      </fill>
    </dxf>
    <dxf>
      <fill>
        <patternFill>
          <bgColor theme="6" tint="0.39994506668294322"/>
        </patternFill>
      </fill>
    </dxf>
    <dxf>
      <fill>
        <patternFill>
          <bgColor theme="6" tint="0.79998168889431442"/>
        </patternFill>
      </fill>
    </dxf>
    <dxf>
      <fill>
        <patternFill>
          <bgColor theme="6" tint="0.79998168889431442"/>
        </patternFill>
      </fill>
    </dxf>
    <dxf>
      <fill>
        <patternFill>
          <bgColor theme="6" tint="0.39994506668294322"/>
        </patternFill>
      </fill>
    </dxf>
    <dxf>
      <fill>
        <patternFill>
          <bgColor theme="6" tint="0.39994506668294322"/>
        </patternFill>
      </fill>
    </dxf>
    <dxf>
      <fill>
        <patternFill>
          <bgColor theme="6" tint="0.79998168889431442"/>
        </patternFill>
      </fill>
    </dxf>
    <dxf>
      <fill>
        <patternFill>
          <bgColor theme="6" tint="0.79998168889431442"/>
        </patternFill>
      </fill>
    </dxf>
    <dxf>
      <fill>
        <patternFill>
          <bgColor theme="6" tint="0.39994506668294322"/>
        </patternFill>
      </fill>
    </dxf>
    <dxf>
      <fill>
        <patternFill>
          <bgColor theme="6" tint="0.39994506668294322"/>
        </patternFill>
      </fill>
    </dxf>
    <dxf>
      <fill>
        <patternFill>
          <bgColor theme="6" tint="0.79998168889431442"/>
        </patternFill>
      </fill>
    </dxf>
    <dxf>
      <fill>
        <patternFill>
          <bgColor theme="6" tint="0.79998168889431442"/>
        </patternFill>
      </fill>
    </dxf>
    <dxf>
      <fill>
        <patternFill>
          <bgColor theme="6" tint="0.3999450666829432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39994506668294322"/>
        </patternFill>
      </fill>
    </dxf>
    <dxf>
      <fill>
        <patternFill>
          <bgColor theme="6" tint="0.7999816888943144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39994506668294322"/>
        </patternFill>
      </fill>
    </dxf>
    <dxf>
      <fill>
        <patternFill>
          <bgColor theme="6" tint="0.7999816888943144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39994506668294322"/>
        </patternFill>
      </fill>
    </dxf>
    <dxf>
      <fill>
        <patternFill>
          <bgColor theme="6" tint="0.7999816888943144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39994506668294322"/>
        </patternFill>
      </fill>
    </dxf>
    <dxf>
      <fill>
        <patternFill>
          <bgColor theme="6" tint="0.7999816888943144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39994506668294322"/>
        </patternFill>
      </fill>
    </dxf>
    <dxf>
      <fill>
        <patternFill>
          <bgColor theme="6" tint="0.79998168889431442"/>
        </patternFill>
      </fill>
    </dxf>
    <dxf>
      <fill>
        <patternFill>
          <bgColor theme="6" tint="0.79998168889431442"/>
        </patternFill>
      </fill>
    </dxf>
    <dxf>
      <fill>
        <patternFill>
          <bgColor theme="6" tint="0.39994506668294322"/>
        </patternFill>
      </fill>
    </dxf>
    <dxf>
      <fill>
        <patternFill>
          <bgColor theme="6" tint="0.39994506668294322"/>
        </patternFill>
      </fill>
    </dxf>
    <dxf>
      <fill>
        <patternFill>
          <bgColor theme="6" tint="0.79998168889431442"/>
        </patternFill>
      </fill>
    </dxf>
    <dxf>
      <fill>
        <patternFill>
          <bgColor theme="6" tint="0.79998168889431442"/>
        </patternFill>
      </fill>
    </dxf>
    <dxf>
      <fill>
        <patternFill>
          <bgColor theme="6" tint="0.3999450666829432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79998168889431442"/>
        </patternFill>
      </fill>
    </dxf>
    <dxf>
      <fill>
        <patternFill>
          <bgColor theme="6" tint="0.3999450666829432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79998168889431442"/>
        </patternFill>
      </fill>
    </dxf>
    <dxf>
      <fill>
        <patternFill>
          <bgColor theme="6" tint="0.3999450666829432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79998168889431442"/>
        </patternFill>
      </fill>
    </dxf>
    <dxf>
      <fill>
        <patternFill>
          <bgColor theme="6" tint="0.3999450666829432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79998168889431442"/>
        </patternFill>
      </fill>
    </dxf>
    <dxf>
      <fill>
        <patternFill>
          <bgColor theme="6" tint="0.3999450666829432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79998168889431442"/>
        </patternFill>
      </fill>
    </dxf>
    <dxf>
      <fill>
        <patternFill>
          <bgColor theme="6" tint="0.39994506668294322"/>
        </patternFill>
      </fill>
    </dxf>
    <dxf>
      <fill>
        <patternFill>
          <bgColor theme="6" tint="0.39994506668294322"/>
        </patternFill>
      </fill>
    </dxf>
    <dxf>
      <fill>
        <patternFill>
          <bgColor theme="6" tint="0.7999816888943144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39994506668294322"/>
        </patternFill>
      </fill>
    </dxf>
    <dxf>
      <fill>
        <patternFill>
          <bgColor theme="6" tint="0.7999816888943144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39994506668294322"/>
        </patternFill>
      </fill>
    </dxf>
    <dxf>
      <fill>
        <patternFill>
          <bgColor theme="6" tint="0.7999816888943144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39994506668294322"/>
        </patternFill>
      </fill>
    </dxf>
    <dxf>
      <fill>
        <patternFill>
          <bgColor theme="6" tint="0.7999816888943144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39994506668294322"/>
        </patternFill>
      </fill>
    </dxf>
    <dxf>
      <fill>
        <patternFill>
          <bgColor theme="6" tint="0.7999816888943144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39994506668294322"/>
        </patternFill>
      </fill>
    </dxf>
    <dxf>
      <fill>
        <patternFill>
          <bgColor theme="6" tint="0.79998168889431442"/>
        </patternFill>
      </fill>
    </dxf>
    <dxf>
      <fill>
        <patternFill>
          <bgColor theme="6" tint="0.79998168889431442"/>
        </patternFill>
      </fill>
    </dxf>
    <dxf>
      <fill>
        <patternFill>
          <bgColor theme="6" tint="0.39994506668294322"/>
        </patternFill>
      </fill>
    </dxf>
    <dxf>
      <fill>
        <patternFill>
          <bgColor theme="6" tint="0.39994506668294322"/>
        </patternFill>
      </fill>
    </dxf>
    <dxf>
      <fill>
        <patternFill>
          <bgColor theme="6" tint="0.79998168889431442"/>
        </patternFill>
      </fill>
    </dxf>
    <dxf>
      <fill>
        <patternFill>
          <bgColor theme="6" tint="0.79998168889431442"/>
        </patternFill>
      </fill>
    </dxf>
    <dxf>
      <fill>
        <patternFill>
          <bgColor theme="6" tint="0.39994506668294322"/>
        </patternFill>
      </fill>
    </dxf>
    <dxf>
      <fill>
        <patternFill>
          <bgColor theme="6" tint="0.39994506668294322"/>
        </patternFill>
      </fill>
    </dxf>
    <dxf>
      <fill>
        <patternFill>
          <bgColor theme="6" tint="0.7999816888943144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39994506668294322"/>
        </patternFill>
      </fill>
    </dxf>
    <dxf>
      <fill>
        <patternFill>
          <bgColor theme="6" tint="0.79998168889431442"/>
        </patternFill>
      </fill>
    </dxf>
    <dxf>
      <fill>
        <patternFill>
          <bgColor theme="6" tint="0.79998168889431442"/>
        </patternFill>
      </fill>
    </dxf>
    <dxf>
      <fill>
        <patternFill>
          <bgColor theme="6" tint="0.39994506668294322"/>
        </patternFill>
      </fill>
    </dxf>
    <dxf>
      <fill>
        <patternFill>
          <bgColor theme="6" tint="0.39994506668294322"/>
        </patternFill>
      </fill>
    </dxf>
    <dxf>
      <fill>
        <patternFill>
          <bgColor theme="6" tint="0.79998168889431442"/>
        </patternFill>
      </fill>
    </dxf>
    <dxf>
      <fill>
        <patternFill>
          <bgColor theme="6" tint="0.79998168889431442"/>
        </patternFill>
      </fill>
    </dxf>
    <dxf>
      <fill>
        <patternFill>
          <bgColor theme="6" tint="0.39994506668294322"/>
        </patternFill>
      </fill>
    </dxf>
    <dxf>
      <fill>
        <patternFill>
          <bgColor theme="6" tint="0.39994506668294322"/>
        </patternFill>
      </fill>
    </dxf>
    <dxf>
      <fill>
        <patternFill>
          <bgColor theme="6" tint="0.79998168889431442"/>
        </patternFill>
      </fill>
    </dxf>
    <dxf>
      <fill>
        <patternFill>
          <bgColor theme="6" tint="0.79998168889431442"/>
        </patternFill>
      </fill>
    </dxf>
    <dxf>
      <fill>
        <patternFill>
          <bgColor theme="6" tint="0.39994506668294322"/>
        </patternFill>
      </fill>
    </dxf>
    <dxf>
      <fill>
        <patternFill>
          <bgColor theme="6" tint="0.39994506668294322"/>
        </patternFill>
      </fill>
    </dxf>
    <dxf>
      <fill>
        <patternFill>
          <bgColor theme="6" tint="0.7999816888943144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39994506668294322"/>
        </patternFill>
      </fill>
    </dxf>
    <dxf>
      <fill>
        <patternFill>
          <bgColor theme="6" tint="0.7999816888943144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79998168889431442"/>
        </patternFill>
      </fill>
    </dxf>
    <dxf>
      <fill>
        <patternFill>
          <bgColor theme="6" tint="0.3999450666829432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
      <fill>
        <patternFill>
          <bgColor theme="6" tint="0.39994506668294322"/>
        </patternFill>
      </fill>
    </dxf>
    <dxf>
      <fill>
        <patternFill>
          <bgColor theme="6"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g"/></Relationships>
</file>

<file path=xl/drawings/_rels/drawing41.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9527</xdr:colOff>
      <xdr:row>1</xdr:row>
      <xdr:rowOff>9525</xdr:rowOff>
    </xdr:from>
    <xdr:to>
      <xdr:col>3</xdr:col>
      <xdr:colOff>9532</xdr:colOff>
      <xdr:row>2</xdr:row>
      <xdr:rowOff>338334</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053" t="8172" r="8642" b="9135"/>
        <a:stretch/>
      </xdr:blipFill>
      <xdr:spPr>
        <a:xfrm>
          <a:off x="257177" y="171450"/>
          <a:ext cx="781055" cy="671709"/>
        </a:xfrm>
        <a:prstGeom prst="rect">
          <a:avLst/>
        </a:prstGeom>
        <a:ln>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9526</xdr:rowOff>
    </xdr:from>
    <xdr:to>
      <xdr:col>2</xdr:col>
      <xdr:colOff>390529</xdr:colOff>
      <xdr:row>1</xdr:row>
      <xdr:rowOff>664844</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42" t="8654" r="9053" b="8654"/>
        <a:stretch/>
      </xdr:blipFill>
      <xdr:spPr>
        <a:xfrm>
          <a:off x="619125" y="200026"/>
          <a:ext cx="762004" cy="655318"/>
        </a:xfrm>
        <a:prstGeom prst="rect">
          <a:avLst/>
        </a:prstGeom>
        <a:ln>
          <a:solidFill>
            <a:sysClr val="windowText" lastClr="000000"/>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xdr:col>
      <xdr:colOff>396061</xdr:colOff>
      <xdr:row>2</xdr:row>
      <xdr:rowOff>0</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053" t="8172" r="8642" b="9135"/>
        <a:stretch/>
      </xdr:blipFill>
      <xdr:spPr>
        <a:xfrm>
          <a:off x="619125" y="200025"/>
          <a:ext cx="719911" cy="619125"/>
        </a:xfrm>
        <a:prstGeom prst="rect">
          <a:avLst/>
        </a:prstGeom>
        <a:ln>
          <a:solidFill>
            <a:sysClr val="windowText" lastClr="000000"/>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xdr:col>
      <xdr:colOff>396061</xdr:colOff>
      <xdr:row>2</xdr:row>
      <xdr:rowOff>0</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053" t="8172" r="8642" b="9135"/>
        <a:stretch/>
      </xdr:blipFill>
      <xdr:spPr>
        <a:xfrm>
          <a:off x="619125" y="200025"/>
          <a:ext cx="719911" cy="619125"/>
        </a:xfrm>
        <a:prstGeom prst="rect">
          <a:avLst/>
        </a:prstGeom>
        <a:ln>
          <a:solidFill>
            <a:sysClr val="windowText" lastClr="000000"/>
          </a:solid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1</xdr:row>
      <xdr:rowOff>9526</xdr:rowOff>
    </xdr:from>
    <xdr:to>
      <xdr:col>2</xdr:col>
      <xdr:colOff>117398</xdr:colOff>
      <xdr:row>2</xdr:row>
      <xdr:rowOff>0</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053" t="8172" r="8642" b="9135"/>
        <a:stretch/>
      </xdr:blipFill>
      <xdr:spPr>
        <a:xfrm>
          <a:off x="619125" y="200026"/>
          <a:ext cx="498398" cy="428624"/>
        </a:xfrm>
        <a:prstGeom prst="rect">
          <a:avLst/>
        </a:prstGeom>
        <a:ln>
          <a:solidFill>
            <a:sysClr val="windowText" lastClr="000000"/>
          </a:solid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xdr:colOff>
      <xdr:row>1</xdr:row>
      <xdr:rowOff>9526</xdr:rowOff>
    </xdr:from>
    <xdr:to>
      <xdr:col>2</xdr:col>
      <xdr:colOff>117398</xdr:colOff>
      <xdr:row>2</xdr:row>
      <xdr:rowOff>0</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053" t="8172" r="8642" b="9135"/>
        <a:stretch/>
      </xdr:blipFill>
      <xdr:spPr>
        <a:xfrm>
          <a:off x="619125" y="200026"/>
          <a:ext cx="498398" cy="428624"/>
        </a:xfrm>
        <a:prstGeom prst="rect">
          <a:avLst/>
        </a:prstGeom>
        <a:ln>
          <a:solidFill>
            <a:sysClr val="windowText" lastClr="000000"/>
          </a:solid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xdr:col>
      <xdr:colOff>396061</xdr:colOff>
      <xdr:row>2</xdr:row>
      <xdr:rowOff>0</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053" t="8172" r="8642" b="9135"/>
        <a:stretch/>
      </xdr:blipFill>
      <xdr:spPr>
        <a:xfrm>
          <a:off x="619125" y="200025"/>
          <a:ext cx="719911" cy="619125"/>
        </a:xfrm>
        <a:prstGeom prst="rect">
          <a:avLst/>
        </a:prstGeom>
        <a:ln>
          <a:solidFill>
            <a:sysClr val="windowText" lastClr="000000"/>
          </a:solid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xdr:colOff>
      <xdr:row>1</xdr:row>
      <xdr:rowOff>9524</xdr:rowOff>
    </xdr:from>
    <xdr:to>
      <xdr:col>2</xdr:col>
      <xdr:colOff>396061</xdr:colOff>
      <xdr:row>1</xdr:row>
      <xdr:rowOff>628649</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053" t="8172" r="8642" b="9135"/>
        <a:stretch/>
      </xdr:blipFill>
      <xdr:spPr>
        <a:xfrm>
          <a:off x="619125" y="200024"/>
          <a:ext cx="719911" cy="619125"/>
        </a:xfrm>
        <a:prstGeom prst="rect">
          <a:avLst/>
        </a:prstGeom>
        <a:ln>
          <a:solidFill>
            <a:sysClr val="windowText" lastClr="000000"/>
          </a:solid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xdr:col>
      <xdr:colOff>396061</xdr:colOff>
      <xdr:row>2</xdr:row>
      <xdr:rowOff>0</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053" t="8172" r="8642" b="9135"/>
        <a:stretch/>
      </xdr:blipFill>
      <xdr:spPr>
        <a:xfrm>
          <a:off x="619125" y="200025"/>
          <a:ext cx="719911" cy="619125"/>
        </a:xfrm>
        <a:prstGeom prst="rect">
          <a:avLst/>
        </a:prstGeom>
        <a:ln>
          <a:solidFill>
            <a:sysClr val="windowText" lastClr="000000"/>
          </a:solid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xdr:col>
      <xdr:colOff>396061</xdr:colOff>
      <xdr:row>2</xdr:row>
      <xdr:rowOff>0</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053" t="8172" r="8642" b="9135"/>
        <a:stretch/>
      </xdr:blipFill>
      <xdr:spPr>
        <a:xfrm>
          <a:off x="619125" y="200025"/>
          <a:ext cx="719911" cy="619125"/>
        </a:xfrm>
        <a:prstGeom prst="rect">
          <a:avLst/>
        </a:prstGeom>
        <a:ln>
          <a:solidFill>
            <a:sysClr val="windowText" lastClr="000000"/>
          </a:solid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xdr:col>
      <xdr:colOff>396061</xdr:colOff>
      <xdr:row>2</xdr:row>
      <xdr:rowOff>0</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053" t="8172" r="8642" b="9135"/>
        <a:stretch/>
      </xdr:blipFill>
      <xdr:spPr>
        <a:xfrm>
          <a:off x="619125" y="200025"/>
          <a:ext cx="719911" cy="619125"/>
        </a:xfrm>
        <a:prstGeom prst="rect">
          <a:avLst/>
        </a:prstGeom>
        <a:ln>
          <a:solidFill>
            <a:sysClr val="windowText" lastClr="000000"/>
          </a:solid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xdr:col>
      <xdr:colOff>396061</xdr:colOff>
      <xdr:row>2</xdr:row>
      <xdr:rowOff>0</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053" t="8172" r="8642" b="9135"/>
        <a:stretch/>
      </xdr:blipFill>
      <xdr:spPr>
        <a:xfrm>
          <a:off x="619125" y="200025"/>
          <a:ext cx="719911" cy="619125"/>
        </a:xfrm>
        <a:prstGeom prst="rect">
          <a:avLst/>
        </a:prstGeom>
        <a:ln>
          <a:solidFill>
            <a:sysClr val="windowText" lastClr="000000"/>
          </a:solid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3</xdr:col>
      <xdr:colOff>0</xdr:colOff>
      <xdr:row>2</xdr:row>
      <xdr:rowOff>764</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053" t="8172" r="8642" b="9135"/>
        <a:stretch/>
      </xdr:blipFill>
      <xdr:spPr>
        <a:xfrm>
          <a:off x="619125" y="200025"/>
          <a:ext cx="742950" cy="638939"/>
        </a:xfrm>
        <a:prstGeom prst="rect">
          <a:avLst/>
        </a:prstGeom>
        <a:ln>
          <a:solidFill>
            <a:sysClr val="windowText" lastClr="000000"/>
          </a:solid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xdr:col>
      <xdr:colOff>396061</xdr:colOff>
      <xdr:row>2</xdr:row>
      <xdr:rowOff>0</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053" t="8172" r="8642" b="9135"/>
        <a:stretch/>
      </xdr:blipFill>
      <xdr:spPr>
        <a:xfrm>
          <a:off x="619125" y="200025"/>
          <a:ext cx="719911" cy="619125"/>
        </a:xfrm>
        <a:prstGeom prst="rect">
          <a:avLst/>
        </a:prstGeom>
        <a:ln>
          <a:solidFill>
            <a:sysClr val="windowText" lastClr="000000"/>
          </a:solid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xdr:col>
      <xdr:colOff>396061</xdr:colOff>
      <xdr:row>2</xdr:row>
      <xdr:rowOff>0</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053" t="8172" r="8642" b="9135"/>
        <a:stretch/>
      </xdr:blipFill>
      <xdr:spPr>
        <a:xfrm>
          <a:off x="619125" y="200025"/>
          <a:ext cx="719911" cy="619125"/>
        </a:xfrm>
        <a:prstGeom prst="rect">
          <a:avLst/>
        </a:prstGeom>
        <a:ln>
          <a:solidFill>
            <a:sysClr val="windowText" lastClr="000000"/>
          </a:solid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xdr:col>
      <xdr:colOff>396061</xdr:colOff>
      <xdr:row>2</xdr:row>
      <xdr:rowOff>0</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053" t="8172" r="8642" b="9135"/>
        <a:stretch/>
      </xdr:blipFill>
      <xdr:spPr>
        <a:xfrm>
          <a:off x="619125" y="200025"/>
          <a:ext cx="719911" cy="619125"/>
        </a:xfrm>
        <a:prstGeom prst="rect">
          <a:avLst/>
        </a:prstGeom>
        <a:ln>
          <a:solidFill>
            <a:sysClr val="windowText" lastClr="000000"/>
          </a:solid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xdr:col>
      <xdr:colOff>396061</xdr:colOff>
      <xdr:row>2</xdr:row>
      <xdr:rowOff>0</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053" t="8172" r="8642" b="9135"/>
        <a:stretch/>
      </xdr:blipFill>
      <xdr:spPr>
        <a:xfrm>
          <a:off x="619125" y="200025"/>
          <a:ext cx="719911" cy="619125"/>
        </a:xfrm>
        <a:prstGeom prst="rect">
          <a:avLst/>
        </a:prstGeom>
        <a:ln>
          <a:solidFill>
            <a:sysClr val="windowText" lastClr="000000"/>
          </a:solid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xdr:col>
      <xdr:colOff>396061</xdr:colOff>
      <xdr:row>2</xdr:row>
      <xdr:rowOff>0</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053" t="8172" r="8642" b="9135"/>
        <a:stretch/>
      </xdr:blipFill>
      <xdr:spPr>
        <a:xfrm>
          <a:off x="619125" y="200025"/>
          <a:ext cx="719911" cy="619125"/>
        </a:xfrm>
        <a:prstGeom prst="rect">
          <a:avLst/>
        </a:prstGeom>
        <a:ln>
          <a:solidFill>
            <a:sysClr val="windowText" lastClr="000000"/>
          </a:solid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xdr:col>
      <xdr:colOff>396061</xdr:colOff>
      <xdr:row>2</xdr:row>
      <xdr:rowOff>0</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053" t="8172" r="8642" b="9135"/>
        <a:stretch/>
      </xdr:blipFill>
      <xdr:spPr>
        <a:xfrm>
          <a:off x="619125" y="200025"/>
          <a:ext cx="719911" cy="619125"/>
        </a:xfrm>
        <a:prstGeom prst="rect">
          <a:avLst/>
        </a:prstGeom>
        <a:ln>
          <a:solidFill>
            <a:sysClr val="windowText" lastClr="000000"/>
          </a:solid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3</xdr:col>
      <xdr:colOff>663</xdr:colOff>
      <xdr:row>2</xdr:row>
      <xdr:rowOff>0</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053" t="8172" r="8642" b="9135"/>
        <a:stretch/>
      </xdr:blipFill>
      <xdr:spPr>
        <a:xfrm>
          <a:off x="619125" y="200025"/>
          <a:ext cx="753138" cy="647700"/>
        </a:xfrm>
        <a:prstGeom prst="rect">
          <a:avLst/>
        </a:prstGeom>
        <a:ln>
          <a:solidFill>
            <a:sysClr val="windowText" lastClr="000000"/>
          </a:solid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9526</xdr:colOff>
      <xdr:row>1</xdr:row>
      <xdr:rowOff>9526</xdr:rowOff>
    </xdr:from>
    <xdr:to>
      <xdr:col>3</xdr:col>
      <xdr:colOff>0</xdr:colOff>
      <xdr:row>2</xdr:row>
      <xdr:rowOff>2098</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053" t="8172" r="8642" b="9135"/>
        <a:stretch/>
      </xdr:blipFill>
      <xdr:spPr>
        <a:xfrm>
          <a:off x="619126" y="200026"/>
          <a:ext cx="733424" cy="630747"/>
        </a:xfrm>
        <a:prstGeom prst="rect">
          <a:avLst/>
        </a:prstGeom>
        <a:ln>
          <a:solidFill>
            <a:sysClr val="windowText" lastClr="000000"/>
          </a:solid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2</xdr:col>
      <xdr:colOff>361949</xdr:colOff>
      <xdr:row>2</xdr:row>
      <xdr:rowOff>2097</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053" t="8172" r="8642" b="9135"/>
        <a:stretch/>
      </xdr:blipFill>
      <xdr:spPr>
        <a:xfrm>
          <a:off x="619125" y="190500"/>
          <a:ext cx="733424" cy="630747"/>
        </a:xfrm>
        <a:prstGeom prst="rect">
          <a:avLst/>
        </a:prstGeom>
        <a:ln>
          <a:solidFill>
            <a:sysClr val="windowText" lastClr="000000"/>
          </a:solid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2</xdr:col>
      <xdr:colOff>361949</xdr:colOff>
      <xdr:row>2</xdr:row>
      <xdr:rowOff>2097</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053" t="8172" r="8642" b="9135"/>
        <a:stretch/>
      </xdr:blipFill>
      <xdr:spPr>
        <a:xfrm>
          <a:off x="619125" y="190500"/>
          <a:ext cx="733424" cy="630747"/>
        </a:xfrm>
        <a:prstGeom prst="rect">
          <a:avLst/>
        </a:prstGeom>
        <a:ln>
          <a:solidFill>
            <a:sysClr val="windowText" lastClr="000000"/>
          </a:solid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2</xdr:col>
      <xdr:colOff>361949</xdr:colOff>
      <xdr:row>2</xdr:row>
      <xdr:rowOff>2097</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053" t="8172" r="8642" b="9135"/>
        <a:stretch/>
      </xdr:blipFill>
      <xdr:spPr>
        <a:xfrm>
          <a:off x="619125" y="190500"/>
          <a:ext cx="733424" cy="630747"/>
        </a:xfrm>
        <a:prstGeom prst="rect">
          <a:avLst/>
        </a:prstGeom>
        <a:ln>
          <a:solidFill>
            <a:sysClr val="windowText" lastClr="000000"/>
          </a:solid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2</xdr:col>
      <xdr:colOff>361949</xdr:colOff>
      <xdr:row>2</xdr:row>
      <xdr:rowOff>2097</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053" t="8172" r="8642" b="9135"/>
        <a:stretch/>
      </xdr:blipFill>
      <xdr:spPr>
        <a:xfrm>
          <a:off x="619125" y="190500"/>
          <a:ext cx="733424" cy="630747"/>
        </a:xfrm>
        <a:prstGeom prst="rect">
          <a:avLst/>
        </a:prstGeom>
        <a:ln>
          <a:solidFill>
            <a:sysClr val="windowText" lastClr="000000"/>
          </a:solidFill>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3</xdr:col>
      <xdr:colOff>9524</xdr:colOff>
      <xdr:row>2</xdr:row>
      <xdr:rowOff>2097</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053" t="8172" r="8642" b="9135"/>
        <a:stretch/>
      </xdr:blipFill>
      <xdr:spPr>
        <a:xfrm>
          <a:off x="619125" y="190500"/>
          <a:ext cx="733424" cy="630747"/>
        </a:xfrm>
        <a:prstGeom prst="rect">
          <a:avLst/>
        </a:prstGeom>
        <a:ln>
          <a:solidFill>
            <a:sysClr val="windowText" lastClr="000000"/>
          </a:solidFill>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3</xdr:col>
      <xdr:colOff>9524</xdr:colOff>
      <xdr:row>2</xdr:row>
      <xdr:rowOff>2097</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053" t="8172" r="8642" b="9135"/>
        <a:stretch/>
      </xdr:blipFill>
      <xdr:spPr>
        <a:xfrm>
          <a:off x="619125" y="190500"/>
          <a:ext cx="733424" cy="630747"/>
        </a:xfrm>
        <a:prstGeom prst="rect">
          <a:avLst/>
        </a:prstGeom>
        <a:ln>
          <a:solidFill>
            <a:sysClr val="windowText" lastClr="000000"/>
          </a:solidFill>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2</xdr:col>
      <xdr:colOff>361949</xdr:colOff>
      <xdr:row>2</xdr:row>
      <xdr:rowOff>2097</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053" t="8172" r="8642" b="9135"/>
        <a:stretch/>
      </xdr:blipFill>
      <xdr:spPr>
        <a:xfrm>
          <a:off x="619125" y="190500"/>
          <a:ext cx="733424" cy="630747"/>
        </a:xfrm>
        <a:prstGeom prst="rect">
          <a:avLst/>
        </a:prstGeom>
        <a:ln>
          <a:solidFill>
            <a:sysClr val="windowText" lastClr="000000"/>
          </a:solidFill>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2</xdr:col>
      <xdr:colOff>361949</xdr:colOff>
      <xdr:row>2</xdr:row>
      <xdr:rowOff>2097</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053" t="8172" r="8642" b="9135"/>
        <a:stretch/>
      </xdr:blipFill>
      <xdr:spPr>
        <a:xfrm>
          <a:off x="619125" y="190500"/>
          <a:ext cx="733424" cy="630747"/>
        </a:xfrm>
        <a:prstGeom prst="rect">
          <a:avLst/>
        </a:prstGeom>
        <a:ln>
          <a:solidFill>
            <a:sysClr val="windowText" lastClr="000000"/>
          </a:solidFill>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2</xdr:col>
      <xdr:colOff>361949</xdr:colOff>
      <xdr:row>2</xdr:row>
      <xdr:rowOff>2097</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053" t="8172" r="8642" b="9135"/>
        <a:stretch/>
      </xdr:blipFill>
      <xdr:spPr>
        <a:xfrm>
          <a:off x="619125" y="190500"/>
          <a:ext cx="733424" cy="630747"/>
        </a:xfrm>
        <a:prstGeom prst="rect">
          <a:avLst/>
        </a:prstGeom>
        <a:ln>
          <a:solidFill>
            <a:sysClr val="windowText" lastClr="000000"/>
          </a:solidFill>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2</xdr:col>
      <xdr:colOff>371474</xdr:colOff>
      <xdr:row>2</xdr:row>
      <xdr:rowOff>2097</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053" t="8172" r="8642" b="9135"/>
        <a:stretch/>
      </xdr:blipFill>
      <xdr:spPr>
        <a:xfrm>
          <a:off x="619125" y="190500"/>
          <a:ext cx="733424" cy="630747"/>
        </a:xfrm>
        <a:prstGeom prst="rect">
          <a:avLst/>
        </a:prstGeom>
        <a:ln>
          <a:solidFill>
            <a:sysClr val="windowText" lastClr="000000"/>
          </a:solidFill>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2</xdr:col>
      <xdr:colOff>361949</xdr:colOff>
      <xdr:row>2</xdr:row>
      <xdr:rowOff>2097</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053" t="8172" r="8642" b="9135"/>
        <a:stretch/>
      </xdr:blipFill>
      <xdr:spPr>
        <a:xfrm>
          <a:off x="619125" y="190500"/>
          <a:ext cx="733424" cy="630747"/>
        </a:xfrm>
        <a:prstGeom prst="rect">
          <a:avLst/>
        </a:prstGeom>
        <a:ln>
          <a:solidFill>
            <a:sysClr val="windowText" lastClr="000000"/>
          </a:solidFill>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3</xdr:col>
      <xdr:colOff>9524</xdr:colOff>
      <xdr:row>2</xdr:row>
      <xdr:rowOff>2097</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053" t="8172" r="8642" b="9135"/>
        <a:stretch/>
      </xdr:blipFill>
      <xdr:spPr>
        <a:xfrm>
          <a:off x="619125" y="190500"/>
          <a:ext cx="733424" cy="630747"/>
        </a:xfrm>
        <a:prstGeom prst="rect">
          <a:avLst/>
        </a:prstGeom>
        <a:ln>
          <a:solidFill>
            <a:sysClr val="windowText" lastClr="000000"/>
          </a:solidFill>
        </a:ln>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2</xdr:col>
      <xdr:colOff>361949</xdr:colOff>
      <xdr:row>2</xdr:row>
      <xdr:rowOff>2097</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053" t="8172" r="8642" b="9135"/>
        <a:stretch/>
      </xdr:blipFill>
      <xdr:spPr>
        <a:xfrm>
          <a:off x="619125" y="190500"/>
          <a:ext cx="733424" cy="630747"/>
        </a:xfrm>
        <a:prstGeom prst="rect">
          <a:avLst/>
        </a:prstGeom>
        <a:ln>
          <a:solidFill>
            <a:sysClr val="windowText" lastClr="000000"/>
          </a:solidFill>
        </a:ln>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2</xdr:col>
      <xdr:colOff>361949</xdr:colOff>
      <xdr:row>2</xdr:row>
      <xdr:rowOff>2097</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053" t="8172" r="8642" b="9135"/>
        <a:stretch/>
      </xdr:blipFill>
      <xdr:spPr>
        <a:xfrm>
          <a:off x="619125" y="190500"/>
          <a:ext cx="733424" cy="630747"/>
        </a:xfrm>
        <a:prstGeom prst="rect">
          <a:avLst/>
        </a:prstGeom>
        <a:ln>
          <a:solidFill>
            <a:sysClr val="windowText" lastClr="000000"/>
          </a:solidFill>
        </a:ln>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2</xdr:col>
      <xdr:colOff>361949</xdr:colOff>
      <xdr:row>2</xdr:row>
      <xdr:rowOff>2097</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053" t="8172" r="8642" b="9135"/>
        <a:stretch/>
      </xdr:blipFill>
      <xdr:spPr>
        <a:xfrm>
          <a:off x="619125" y="190500"/>
          <a:ext cx="733424" cy="630747"/>
        </a:xfrm>
        <a:prstGeom prst="rect">
          <a:avLst/>
        </a:prstGeom>
        <a:ln>
          <a:solidFill>
            <a:sysClr val="windowText" lastClr="000000"/>
          </a:solidFill>
        </a:ln>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2</xdr:col>
      <xdr:colOff>371474</xdr:colOff>
      <xdr:row>2</xdr:row>
      <xdr:rowOff>2097</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053" t="8172" r="8642" b="9135"/>
        <a:stretch/>
      </xdr:blipFill>
      <xdr:spPr>
        <a:xfrm>
          <a:off x="619125" y="190500"/>
          <a:ext cx="733424" cy="630747"/>
        </a:xfrm>
        <a:prstGeom prst="rect">
          <a:avLst/>
        </a:prstGeom>
        <a:ln>
          <a:solidFill>
            <a:sysClr val="windowText" lastClr="000000"/>
          </a:solidFill>
        </a:ln>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3</xdr:col>
      <xdr:colOff>9524</xdr:colOff>
      <xdr:row>2</xdr:row>
      <xdr:rowOff>2097</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053" t="8172" r="8642" b="9135"/>
        <a:stretch/>
      </xdr:blipFill>
      <xdr:spPr>
        <a:xfrm>
          <a:off x="619125" y="190500"/>
          <a:ext cx="733424" cy="630747"/>
        </a:xfrm>
        <a:prstGeom prst="rect">
          <a:avLst/>
        </a:prstGeom>
        <a:ln>
          <a:solidFill>
            <a:sysClr val="windowText" lastClr="000000"/>
          </a:solidFill>
        </a:ln>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2</xdr:col>
      <xdr:colOff>361949</xdr:colOff>
      <xdr:row>2</xdr:row>
      <xdr:rowOff>2097</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053" t="8172" r="8642" b="9135"/>
        <a:stretch/>
      </xdr:blipFill>
      <xdr:spPr>
        <a:xfrm>
          <a:off x="619125" y="190500"/>
          <a:ext cx="733424" cy="630747"/>
        </a:xfrm>
        <a:prstGeom prst="rect">
          <a:avLst/>
        </a:prstGeom>
        <a:ln>
          <a:solidFill>
            <a:sysClr val="windowText" lastClr="000000"/>
          </a:solidFill>
        </a:ln>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2</xdr:col>
      <xdr:colOff>361949</xdr:colOff>
      <xdr:row>2</xdr:row>
      <xdr:rowOff>2097</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053" t="8172" r="8642" b="9135"/>
        <a:stretch/>
      </xdr:blipFill>
      <xdr:spPr>
        <a:xfrm>
          <a:off x="619125" y="190500"/>
          <a:ext cx="733424" cy="630747"/>
        </a:xfrm>
        <a:prstGeom prst="rect">
          <a:avLst/>
        </a:prstGeom>
        <a:ln>
          <a:solidFill>
            <a:sysClr val="windowText" lastClr="000000"/>
          </a:solidFill>
        </a:ln>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2</xdr:col>
      <xdr:colOff>371474</xdr:colOff>
      <xdr:row>2</xdr:row>
      <xdr:rowOff>2097</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053" t="8172" r="8642" b="9135"/>
        <a:stretch/>
      </xdr:blipFill>
      <xdr:spPr>
        <a:xfrm>
          <a:off x="619125" y="190500"/>
          <a:ext cx="733424" cy="630747"/>
        </a:xfrm>
        <a:prstGeom prst="rect">
          <a:avLst/>
        </a:prstGeom>
        <a:ln>
          <a:solidFill>
            <a:sysClr val="windowText" lastClr="000000"/>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K21"/>
  <sheetViews>
    <sheetView zoomScaleNormal="100" workbookViewId="0">
      <selection activeCell="D3" sqref="D3"/>
    </sheetView>
  </sheetViews>
  <sheetFormatPr defaultColWidth="0" defaultRowHeight="15" zeroHeight="1" x14ac:dyDescent="0.25"/>
  <cols>
    <col min="1" max="1" width="4" style="2" customWidth="1"/>
    <col min="2" max="2" width="15.85546875" style="2" customWidth="1"/>
    <col min="3" max="3" width="15.140625" style="2" customWidth="1"/>
    <col min="4" max="4" width="10.28515625" style="2" customWidth="1"/>
    <col min="5" max="5" width="9.85546875" style="2" customWidth="1"/>
    <col min="6" max="6" width="12" style="2" customWidth="1"/>
    <col min="7" max="7" width="16.5703125" style="2" customWidth="1"/>
    <col min="8" max="8" width="19" style="2" customWidth="1"/>
    <col min="9" max="9" width="21.140625" style="2" customWidth="1"/>
    <col min="10" max="10" width="15.7109375" style="2" customWidth="1"/>
    <col min="11" max="11" width="9.140625" style="2" customWidth="1"/>
    <col min="12" max="16384" width="9.140625" style="2" hidden="1"/>
  </cols>
  <sheetData>
    <row r="1" spans="2:10" ht="14.25" customHeight="1" x14ac:dyDescent="0.25"/>
    <row r="2" spans="2:10" ht="114.75" customHeight="1" x14ac:dyDescent="0.25">
      <c r="B2" s="331" t="s">
        <v>832</v>
      </c>
      <c r="C2" s="329" t="s">
        <v>68</v>
      </c>
      <c r="D2" s="331" t="s">
        <v>70</v>
      </c>
      <c r="E2" s="331"/>
      <c r="F2" s="331"/>
      <c r="G2" s="331" t="s">
        <v>71</v>
      </c>
      <c r="H2" s="331"/>
      <c r="I2" s="331"/>
      <c r="J2" s="335" t="s">
        <v>69</v>
      </c>
    </row>
    <row r="3" spans="2:10" ht="33.75" customHeight="1" x14ac:dyDescent="0.25">
      <c r="B3" s="331"/>
      <c r="C3" s="330"/>
      <c r="D3" s="6" t="s">
        <v>66</v>
      </c>
      <c r="E3" s="6" t="s">
        <v>65</v>
      </c>
      <c r="F3" s="6" t="s">
        <v>67</v>
      </c>
      <c r="G3" s="6" t="s">
        <v>66</v>
      </c>
      <c r="H3" s="6" t="s">
        <v>65</v>
      </c>
      <c r="I3" s="6" t="s">
        <v>67</v>
      </c>
      <c r="J3" s="336"/>
    </row>
    <row r="4" spans="2:10" x14ac:dyDescent="0.25">
      <c r="B4" s="331"/>
      <c r="C4" s="3" t="s">
        <v>61</v>
      </c>
      <c r="D4" s="1">
        <v>127</v>
      </c>
      <c r="E4" s="1">
        <v>51.67</v>
      </c>
      <c r="F4" s="12">
        <f>D4+E4</f>
        <v>178.67000000000002</v>
      </c>
      <c r="G4" s="1">
        <v>210</v>
      </c>
      <c r="H4" s="1">
        <v>11.61</v>
      </c>
      <c r="I4" s="1">
        <f>G4+H4</f>
        <v>221.61</v>
      </c>
      <c r="J4" s="4">
        <f>(I4/F4)-1</f>
        <v>0.24033133710191978</v>
      </c>
    </row>
    <row r="5" spans="2:10" x14ac:dyDescent="0.25">
      <c r="B5" s="331"/>
      <c r="C5" s="3" t="s">
        <v>62</v>
      </c>
      <c r="D5" s="1">
        <v>134</v>
      </c>
      <c r="E5" s="1">
        <v>51.67</v>
      </c>
      <c r="F5" s="1">
        <f>D5+E5</f>
        <v>185.67000000000002</v>
      </c>
      <c r="G5" s="1">
        <v>220</v>
      </c>
      <c r="H5" s="1">
        <v>12.16</v>
      </c>
      <c r="I5" s="1">
        <f>G5+H5</f>
        <v>232.16</v>
      </c>
      <c r="J5" s="4">
        <f>(I5/F5)-1</f>
        <v>0.25039047772930445</v>
      </c>
    </row>
    <row r="6" spans="2:10" x14ac:dyDescent="0.25">
      <c r="B6" s="331"/>
      <c r="C6" s="3" t="s">
        <v>63</v>
      </c>
      <c r="D6" s="1">
        <v>163</v>
      </c>
      <c r="E6" s="1">
        <v>64.290000000000006</v>
      </c>
      <c r="F6" s="1">
        <f>D6+E6</f>
        <v>227.29000000000002</v>
      </c>
      <c r="G6" s="1">
        <v>290</v>
      </c>
      <c r="H6" s="1">
        <v>16.03</v>
      </c>
      <c r="I6" s="1">
        <f>G6+H6</f>
        <v>306.02999999999997</v>
      </c>
      <c r="J6" s="4">
        <f>(I6/F6)-1</f>
        <v>0.34642967134497749</v>
      </c>
    </row>
    <row r="7" spans="2:10" x14ac:dyDescent="0.25">
      <c r="B7" s="331"/>
      <c r="C7" s="3" t="s">
        <v>64</v>
      </c>
      <c r="D7" s="1">
        <v>198</v>
      </c>
      <c r="E7" s="1">
        <v>77.709999999999994</v>
      </c>
      <c r="F7" s="1">
        <f>D7+E7</f>
        <v>275.70999999999998</v>
      </c>
      <c r="G7" s="1">
        <v>335</v>
      </c>
      <c r="H7" s="1">
        <v>18.52</v>
      </c>
      <c r="I7" s="1">
        <f>G7+H7</f>
        <v>353.52</v>
      </c>
      <c r="J7" s="4">
        <f>(I7/F7)-1</f>
        <v>0.28221682202314025</v>
      </c>
    </row>
    <row r="8" spans="2:10" hidden="1" x14ac:dyDescent="0.25">
      <c r="B8" s="331"/>
      <c r="C8" s="3" t="s">
        <v>125</v>
      </c>
      <c r="D8" s="1">
        <v>140</v>
      </c>
      <c r="E8" s="1">
        <v>51.67</v>
      </c>
      <c r="F8" s="1">
        <f>D8+E8</f>
        <v>191.67000000000002</v>
      </c>
      <c r="G8" s="1">
        <v>290</v>
      </c>
      <c r="H8" s="1">
        <v>16.03</v>
      </c>
      <c r="I8" s="1">
        <f>G8+H8</f>
        <v>306.02999999999997</v>
      </c>
      <c r="J8" s="4">
        <f>(I8/F8)-1</f>
        <v>0.59665049303490347</v>
      </c>
    </row>
    <row r="9" spans="2:10" hidden="1" x14ac:dyDescent="0.25">
      <c r="B9" s="331"/>
      <c r="C9" s="332" t="s">
        <v>126</v>
      </c>
      <c r="D9" s="333"/>
      <c r="E9" s="333"/>
      <c r="F9" s="333"/>
      <c r="G9" s="333"/>
      <c r="H9" s="333"/>
      <c r="I9" s="334"/>
      <c r="J9" s="5">
        <f>AVERAGE(J4:J8)</f>
        <v>0.34320376024684907</v>
      </c>
    </row>
    <row r="10" spans="2:10" x14ac:dyDescent="0.25">
      <c r="B10" s="331"/>
      <c r="C10" s="332" t="s">
        <v>132</v>
      </c>
      <c r="D10" s="333"/>
      <c r="E10" s="333"/>
      <c r="F10" s="333"/>
      <c r="G10" s="333"/>
      <c r="H10" s="333"/>
      <c r="I10" s="334"/>
      <c r="J10" s="5">
        <f>AVERAGE(J4:J7)</f>
        <v>0.27984207704983549</v>
      </c>
    </row>
    <row r="11" spans="2:10" ht="32.25" customHeight="1" x14ac:dyDescent="0.25">
      <c r="B11" s="328" t="s">
        <v>348</v>
      </c>
      <c r="C11" s="328"/>
      <c r="D11" s="328"/>
      <c r="E11" s="328"/>
      <c r="F11" s="328"/>
      <c r="G11" s="328"/>
      <c r="H11" s="328"/>
      <c r="I11" s="328"/>
      <c r="J11" s="328"/>
    </row>
    <row r="12" spans="2:10" x14ac:dyDescent="0.25">
      <c r="I12" s="174"/>
    </row>
    <row r="13" spans="2:10" x14ac:dyDescent="0.25"/>
    <row r="14" spans="2:10" x14ac:dyDescent="0.25"/>
    <row r="15" spans="2:10" x14ac:dyDescent="0.25"/>
    <row r="16" spans="2:10" x14ac:dyDescent="0.25"/>
    <row r="17" x14ac:dyDescent="0.25"/>
    <row r="18" x14ac:dyDescent="0.25"/>
    <row r="19" x14ac:dyDescent="0.25"/>
    <row r="20" x14ac:dyDescent="0.25"/>
    <row r="21" x14ac:dyDescent="0.25"/>
  </sheetData>
  <mergeCells count="8">
    <mergeCell ref="B11:J11"/>
    <mergeCell ref="C2:C3"/>
    <mergeCell ref="D2:F2"/>
    <mergeCell ref="G2:I2"/>
    <mergeCell ref="B2:B10"/>
    <mergeCell ref="C10:I10"/>
    <mergeCell ref="J2:J3"/>
    <mergeCell ref="C9:I9"/>
  </mergeCells>
  <printOptions horizontalCentered="1" verticalCentered="1"/>
  <pageMargins left="0.7" right="0.7" top="0.75" bottom="0.75" header="0.3" footer="0.3"/>
  <pageSetup paperSize="9" scale="96"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N19"/>
  <sheetViews>
    <sheetView workbookViewId="0">
      <selection activeCell="F9" sqref="F9"/>
    </sheetView>
  </sheetViews>
  <sheetFormatPr defaultRowHeight="15" x14ac:dyDescent="0.25"/>
  <cols>
    <col min="1" max="1" width="22.28515625" customWidth="1"/>
    <col min="2" max="10" width="8.7109375" customWidth="1"/>
    <col min="11" max="12" width="13.42578125" customWidth="1"/>
  </cols>
  <sheetData>
    <row r="2" spans="1:14" ht="27" customHeight="1" x14ac:dyDescent="0.25">
      <c r="A2" s="338" t="s">
        <v>1654</v>
      </c>
      <c r="B2" s="338"/>
      <c r="C2" s="338"/>
      <c r="D2" s="338"/>
      <c r="E2" s="338"/>
      <c r="F2" s="338"/>
      <c r="G2" s="338"/>
      <c r="H2" s="338"/>
      <c r="I2" s="338"/>
      <c r="J2" s="338"/>
      <c r="K2" s="338"/>
      <c r="L2" s="338"/>
    </row>
    <row r="3" spans="1:14" ht="40.5" customHeight="1" x14ac:dyDescent="0.25">
      <c r="A3" s="339" t="s">
        <v>1655</v>
      </c>
      <c r="B3" s="340" t="s">
        <v>1656</v>
      </c>
      <c r="C3" s="340"/>
      <c r="D3" s="340"/>
      <c r="E3" s="340" t="s">
        <v>1657</v>
      </c>
      <c r="F3" s="340"/>
      <c r="G3" s="340"/>
      <c r="H3" s="340" t="s">
        <v>1658</v>
      </c>
      <c r="I3" s="340"/>
      <c r="J3" s="340"/>
      <c r="K3" s="341" t="s">
        <v>1659</v>
      </c>
      <c r="L3" s="341"/>
    </row>
    <row r="4" spans="1:14" s="2" customFormat="1" ht="25.5" customHeight="1" x14ac:dyDescent="0.25">
      <c r="A4" s="339"/>
      <c r="B4" s="310">
        <v>41730</v>
      </c>
      <c r="C4" s="311">
        <v>42095</v>
      </c>
      <c r="D4" s="311">
        <v>42461</v>
      </c>
      <c r="E4" s="310">
        <v>41730</v>
      </c>
      <c r="F4" s="311">
        <v>42095</v>
      </c>
      <c r="G4" s="311">
        <v>42461</v>
      </c>
      <c r="H4" s="310">
        <v>41730</v>
      </c>
      <c r="I4" s="311">
        <v>42095</v>
      </c>
      <c r="J4" s="311">
        <v>42461</v>
      </c>
      <c r="K4" s="311" t="s">
        <v>1660</v>
      </c>
      <c r="L4" s="311" t="s">
        <v>1661</v>
      </c>
      <c r="M4"/>
      <c r="N4"/>
    </row>
    <row r="5" spans="1:14" x14ac:dyDescent="0.25">
      <c r="A5" s="312" t="s">
        <v>910</v>
      </c>
      <c r="B5" s="313">
        <v>141</v>
      </c>
      <c r="C5" s="313">
        <v>143.19999999999999</v>
      </c>
      <c r="D5" s="314">
        <v>135</v>
      </c>
      <c r="E5" s="313">
        <v>242</v>
      </c>
      <c r="F5" s="313">
        <v>256</v>
      </c>
      <c r="G5" s="313">
        <v>271</v>
      </c>
      <c r="H5" s="313">
        <f t="shared" ref="H5:J8" si="0">($H$12*B5)+($H$13*E5)</f>
        <v>181.4</v>
      </c>
      <c r="I5" s="313">
        <f t="shared" si="0"/>
        <v>188.32</v>
      </c>
      <c r="J5" s="313">
        <f t="shared" si="0"/>
        <v>189.4</v>
      </c>
      <c r="K5" s="315">
        <f>(J5-I5)/I5</f>
        <v>5.7349192863212217E-3</v>
      </c>
      <c r="L5" s="315">
        <f>(J5-H5)/H5</f>
        <v>4.4101433296582136E-2</v>
      </c>
    </row>
    <row r="6" spans="1:14" x14ac:dyDescent="0.25">
      <c r="A6" s="312" t="s">
        <v>911</v>
      </c>
      <c r="B6" s="313">
        <v>135.1</v>
      </c>
      <c r="C6" s="313">
        <v>130.1</v>
      </c>
      <c r="D6" s="314">
        <v>123.9</v>
      </c>
      <c r="E6" s="313">
        <v>242</v>
      </c>
      <c r="F6" s="313">
        <v>256</v>
      </c>
      <c r="G6" s="313">
        <v>271</v>
      </c>
      <c r="H6" s="313">
        <f t="shared" si="0"/>
        <v>177.86</v>
      </c>
      <c r="I6" s="313">
        <f t="shared" si="0"/>
        <v>180.45999999999998</v>
      </c>
      <c r="J6" s="313">
        <f t="shared" si="0"/>
        <v>182.74</v>
      </c>
      <c r="K6" s="315">
        <f>(J6-I6)/I6</f>
        <v>1.2634378809708687E-2</v>
      </c>
      <c r="L6" s="315">
        <f>(J6-H6)/H6</f>
        <v>2.7437310244012116E-2</v>
      </c>
    </row>
    <row r="7" spans="1:14" x14ac:dyDescent="0.25">
      <c r="A7" s="312" t="s">
        <v>912</v>
      </c>
      <c r="B7" s="313">
        <v>162.69999999999999</v>
      </c>
      <c r="C7" s="313">
        <v>175.2</v>
      </c>
      <c r="D7" s="314">
        <v>176.9</v>
      </c>
      <c r="E7" s="313">
        <v>242</v>
      </c>
      <c r="F7" s="313">
        <v>256</v>
      </c>
      <c r="G7" s="313">
        <v>271</v>
      </c>
      <c r="H7" s="313">
        <f t="shared" si="0"/>
        <v>194.42000000000002</v>
      </c>
      <c r="I7" s="313">
        <f t="shared" si="0"/>
        <v>207.51999999999998</v>
      </c>
      <c r="J7" s="313">
        <f t="shared" si="0"/>
        <v>214.54000000000002</v>
      </c>
      <c r="K7" s="315">
        <f>(J7-I7)/I7</f>
        <v>3.3828064764842132E-2</v>
      </c>
      <c r="L7" s="315">
        <f>(J7-H7)/H7</f>
        <v>0.10348729554572576</v>
      </c>
    </row>
    <row r="8" spans="1:14" x14ac:dyDescent="0.25">
      <c r="A8" s="312" t="s">
        <v>913</v>
      </c>
      <c r="B8" s="313">
        <v>280.39999999999998</v>
      </c>
      <c r="C8" s="313">
        <v>278.5</v>
      </c>
      <c r="D8" s="314">
        <v>278.5</v>
      </c>
      <c r="E8" s="313">
        <v>242</v>
      </c>
      <c r="F8" s="313">
        <v>256</v>
      </c>
      <c r="G8" s="313">
        <v>271</v>
      </c>
      <c r="H8" s="313">
        <f t="shared" si="0"/>
        <v>265.03999999999996</v>
      </c>
      <c r="I8" s="313">
        <f t="shared" si="0"/>
        <v>269.5</v>
      </c>
      <c r="J8" s="313">
        <f t="shared" si="0"/>
        <v>275.5</v>
      </c>
      <c r="K8" s="315">
        <f>(J8-I8)/I8</f>
        <v>2.2263450834879406E-2</v>
      </c>
      <c r="L8" s="315">
        <f>(J8-H8)/H8</f>
        <v>3.9465741020223502E-2</v>
      </c>
    </row>
    <row r="9" spans="1:14" x14ac:dyDescent="0.25">
      <c r="A9" s="312" t="s">
        <v>914</v>
      </c>
      <c r="B9" s="313">
        <v>59.646299999999997</v>
      </c>
      <c r="C9" s="313">
        <v>62.753161111111112</v>
      </c>
      <c r="D9" s="314">
        <v>66.469531250000003</v>
      </c>
      <c r="E9" s="313"/>
      <c r="F9" s="313"/>
      <c r="G9" s="313"/>
      <c r="H9" s="313">
        <f>B9</f>
        <v>59.646299999999997</v>
      </c>
      <c r="I9" s="313">
        <f>C9</f>
        <v>62.753161111111112</v>
      </c>
      <c r="J9" s="313">
        <f>D9</f>
        <v>66.469531250000003</v>
      </c>
      <c r="K9" s="315">
        <f>(J9-I9)/I9</f>
        <v>5.922203874811445E-2</v>
      </c>
      <c r="L9" s="315">
        <f>(J9-H9)/H9</f>
        <v>0.11439487864293353</v>
      </c>
    </row>
    <row r="10" spans="1:14" x14ac:dyDescent="0.25">
      <c r="A10" s="337" t="s">
        <v>1662</v>
      </c>
      <c r="B10" s="337"/>
      <c r="C10" s="337"/>
      <c r="D10" s="337"/>
      <c r="E10" s="337"/>
      <c r="F10" s="337"/>
      <c r="G10" s="337"/>
      <c r="H10" s="337"/>
      <c r="I10" s="337"/>
      <c r="J10" s="337"/>
      <c r="K10" s="316">
        <f>AVERAGE(K5:K9)</f>
        <v>2.6736570488773183E-2</v>
      </c>
      <c r="L10" s="316">
        <f>AVERAGE(L5:L9)</f>
        <v>6.5777331749895404E-2</v>
      </c>
    </row>
    <row r="11" spans="1:14" x14ac:dyDescent="0.25">
      <c r="A11" s="317" t="s">
        <v>1663</v>
      </c>
      <c r="B11" s="318"/>
      <c r="C11" s="318"/>
      <c r="D11" s="318"/>
      <c r="E11" s="318">
        <v>242</v>
      </c>
      <c r="F11" s="318">
        <v>256</v>
      </c>
      <c r="G11" s="318">
        <v>271</v>
      </c>
      <c r="H11" s="318">
        <f>E11</f>
        <v>242</v>
      </c>
      <c r="I11" s="318">
        <f>F11</f>
        <v>256</v>
      </c>
      <c r="J11" s="318">
        <f t="shared" ref="J11" si="1">G11</f>
        <v>271</v>
      </c>
      <c r="K11" s="318"/>
      <c r="L11" s="318"/>
    </row>
    <row r="12" spans="1:14" x14ac:dyDescent="0.25">
      <c r="G12" s="319" t="s">
        <v>1664</v>
      </c>
      <c r="H12" s="320">
        <v>0.6</v>
      </c>
    </row>
    <row r="13" spans="1:14" x14ac:dyDescent="0.25">
      <c r="G13" s="319" t="s">
        <v>1665</v>
      </c>
      <c r="H13" s="320">
        <f>1-H12</f>
        <v>0.4</v>
      </c>
    </row>
    <row r="15" spans="1:14" x14ac:dyDescent="0.25">
      <c r="C15" s="321"/>
    </row>
    <row r="19" spans="3:3" x14ac:dyDescent="0.25">
      <c r="C19" s="322"/>
    </row>
  </sheetData>
  <mergeCells count="7">
    <mergeCell ref="A10:J10"/>
    <mergeCell ref="A2:L2"/>
    <mergeCell ref="A3:A4"/>
    <mergeCell ref="B3:D3"/>
    <mergeCell ref="E3:G3"/>
    <mergeCell ref="H3:J3"/>
    <mergeCell ref="K3:L3"/>
  </mergeCells>
  <pageMargins left="0.7" right="0.7" top="0.75" bottom="0.75" header="0.3" footer="0.3"/>
  <pageSetup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C545"/>
  <sheetViews>
    <sheetView showGridLines="0" tabSelected="1" zoomScaleNormal="100" workbookViewId="0">
      <pane xSplit="5" ySplit="7" topLeftCell="F8" activePane="bottomRight" state="frozen"/>
      <selection activeCell="D12" sqref="D12"/>
      <selection pane="topRight" activeCell="D12" sqref="D12"/>
      <selection pane="bottomLeft" activeCell="D12" sqref="D12"/>
      <selection pane="bottomRight" activeCell="D8" sqref="D8"/>
    </sheetView>
  </sheetViews>
  <sheetFormatPr defaultColWidth="9.140625" defaultRowHeight="15" x14ac:dyDescent="0.25"/>
  <cols>
    <col min="1" max="1" width="3.7109375" customWidth="1"/>
    <col min="2" max="2" width="5.7109375" style="36" bestFit="1" customWidth="1"/>
    <col min="3" max="3" width="6" style="259" customWidth="1"/>
    <col min="4" max="4" width="54" style="308" customWidth="1"/>
    <col min="5" max="5" width="8.140625" style="261" customWidth="1"/>
    <col min="6" max="6" width="8" style="33" customWidth="1"/>
    <col min="7" max="7" width="9" style="33" customWidth="1"/>
    <col min="8" max="8" width="12.42578125" style="33" customWidth="1"/>
    <col min="9" max="9" width="15" style="33" customWidth="1"/>
    <col min="10" max="10" width="11.42578125" style="309" customWidth="1"/>
    <col min="11" max="11" width="13.42578125" style="309" customWidth="1"/>
    <col min="12" max="12" width="14.140625" style="309" customWidth="1"/>
    <col min="13" max="13" width="11.42578125" style="309" customWidth="1"/>
    <col min="14" max="14" width="29" style="261" customWidth="1"/>
    <col min="15" max="15" width="13.140625" style="33" customWidth="1"/>
    <col min="16" max="16" width="12" style="33" customWidth="1"/>
    <col min="17" max="17" width="9.5703125" style="33" customWidth="1"/>
    <col min="18" max="18" width="9.140625" style="33" customWidth="1"/>
    <col min="19" max="19" width="10" style="259" bestFit="1" customWidth="1"/>
    <col min="20" max="20" width="9.140625" style="259" customWidth="1"/>
    <col min="21" max="21" width="12.140625" style="33" customWidth="1"/>
    <col min="22" max="22" width="6.7109375" style="33" customWidth="1"/>
    <col min="23" max="23" width="17" style="33" customWidth="1"/>
    <col min="24" max="24" width="23" style="33" customWidth="1"/>
    <col min="25" max="25" width="12.140625" style="33" customWidth="1"/>
    <col min="26" max="28" width="9.140625" style="33" customWidth="1"/>
    <col min="29" max="30" width="10.140625" style="33" customWidth="1"/>
    <col min="31" max="16384" width="9.140625" style="33"/>
  </cols>
  <sheetData>
    <row r="1" spans="1:29" x14ac:dyDescent="0.25">
      <c r="D1" s="260"/>
      <c r="J1" s="263">
        <v>1</v>
      </c>
      <c r="K1" s="263"/>
      <c r="L1" s="263"/>
      <c r="M1" s="33"/>
      <c r="O1" s="264"/>
      <c r="P1" s="265"/>
    </row>
    <row r="2" spans="1:29" ht="27" customHeight="1" x14ac:dyDescent="0.25">
      <c r="B2" s="266"/>
      <c r="C2" s="267"/>
      <c r="D2" s="342" t="s">
        <v>889</v>
      </c>
      <c r="E2" s="342"/>
      <c r="J2" s="344" t="s">
        <v>1666</v>
      </c>
      <c r="K2" s="268" t="s">
        <v>890</v>
      </c>
      <c r="L2" s="268">
        <f>'Individual Indexing Cal.'!L10</f>
        <v>6.5777331749895404E-2</v>
      </c>
      <c r="M2" s="269"/>
      <c r="N2" s="270"/>
      <c r="O2" s="271"/>
      <c r="P2" s="272"/>
    </row>
    <row r="3" spans="1:29" ht="27" customHeight="1" x14ac:dyDescent="0.25">
      <c r="B3" s="273"/>
      <c r="C3" s="267"/>
      <c r="D3" s="343"/>
      <c r="E3" s="342"/>
      <c r="J3" s="344"/>
      <c r="K3" s="268" t="s">
        <v>891</v>
      </c>
      <c r="L3" s="274">
        <f>'Individual Indexing Cal.'!K10</f>
        <v>2.6736570488773183E-2</v>
      </c>
      <c r="M3" s="269"/>
      <c r="N3" s="275"/>
      <c r="O3" s="276"/>
      <c r="P3" s="272"/>
    </row>
    <row r="4" spans="1:29" s="277" customFormat="1" ht="25.5" customHeight="1" x14ac:dyDescent="0.25">
      <c r="A4"/>
      <c r="B4" s="345" t="s">
        <v>114</v>
      </c>
      <c r="C4" s="345" t="s">
        <v>892</v>
      </c>
      <c r="D4" s="345" t="s">
        <v>893</v>
      </c>
      <c r="E4" s="345" t="s">
        <v>0</v>
      </c>
      <c r="F4" s="346" t="s">
        <v>894</v>
      </c>
      <c r="G4" s="346" t="s">
        <v>895</v>
      </c>
      <c r="H4" s="345" t="s">
        <v>896</v>
      </c>
      <c r="I4" s="346" t="s">
        <v>897</v>
      </c>
      <c r="J4" s="345" t="s">
        <v>898</v>
      </c>
      <c r="K4" s="345"/>
      <c r="L4" s="345"/>
      <c r="M4" s="345"/>
      <c r="N4" s="345"/>
      <c r="O4" s="345" t="s">
        <v>899</v>
      </c>
      <c r="P4" s="345"/>
      <c r="Q4" s="345" t="s">
        <v>900</v>
      </c>
      <c r="R4" s="345"/>
      <c r="T4" s="2"/>
      <c r="U4"/>
      <c r="V4"/>
      <c r="W4"/>
      <c r="X4"/>
      <c r="Y4"/>
    </row>
    <row r="5" spans="1:29" s="277" customFormat="1" ht="22.5" customHeight="1" x14ac:dyDescent="0.25">
      <c r="A5"/>
      <c r="B5" s="345"/>
      <c r="C5" s="345"/>
      <c r="D5" s="345"/>
      <c r="E5" s="345"/>
      <c r="F5" s="347"/>
      <c r="G5" s="347"/>
      <c r="H5" s="345"/>
      <c r="I5" s="347"/>
      <c r="J5" s="345"/>
      <c r="K5" s="345"/>
      <c r="L5" s="345"/>
      <c r="M5" s="345"/>
      <c r="N5" s="345"/>
      <c r="O5" s="345"/>
      <c r="P5" s="345"/>
      <c r="Q5" s="346" t="s">
        <v>901</v>
      </c>
      <c r="R5" s="346" t="s">
        <v>902</v>
      </c>
      <c r="T5" s="2"/>
      <c r="U5"/>
      <c r="V5"/>
      <c r="W5"/>
      <c r="X5"/>
      <c r="Y5"/>
    </row>
    <row r="6" spans="1:29" s="277" customFormat="1" ht="44.25" customHeight="1" x14ac:dyDescent="0.25">
      <c r="A6"/>
      <c r="B6" s="345"/>
      <c r="C6" s="345"/>
      <c r="D6" s="345"/>
      <c r="E6" s="345"/>
      <c r="F6" s="348"/>
      <c r="G6" s="348"/>
      <c r="H6" s="345"/>
      <c r="I6" s="348"/>
      <c r="J6" s="278" t="s">
        <v>903</v>
      </c>
      <c r="K6" s="278" t="s">
        <v>904</v>
      </c>
      <c r="L6" s="278" t="s">
        <v>905</v>
      </c>
      <c r="M6" s="278" t="s">
        <v>906</v>
      </c>
      <c r="N6" s="278" t="s">
        <v>907</v>
      </c>
      <c r="O6" s="278" t="s">
        <v>908</v>
      </c>
      <c r="P6" s="278" t="s">
        <v>907</v>
      </c>
      <c r="Q6" s="348"/>
      <c r="R6" s="348"/>
      <c r="S6" s="324" t="s">
        <v>1667</v>
      </c>
      <c r="T6" s="326" t="s">
        <v>1668</v>
      </c>
      <c r="U6"/>
      <c r="V6"/>
      <c r="W6"/>
      <c r="X6"/>
      <c r="Y6"/>
      <c r="AB6" s="279"/>
      <c r="AC6" s="280"/>
    </row>
    <row r="7" spans="1:29" s="277" customFormat="1" ht="18" customHeight="1" x14ac:dyDescent="0.25">
      <c r="A7"/>
      <c r="B7" s="281" t="s">
        <v>74</v>
      </c>
      <c r="C7" s="281" t="s">
        <v>75</v>
      </c>
      <c r="D7" s="281" t="s">
        <v>76</v>
      </c>
      <c r="E7" s="281" t="s">
        <v>77</v>
      </c>
      <c r="F7" s="282" t="s">
        <v>78</v>
      </c>
      <c r="G7" s="282" t="s">
        <v>213</v>
      </c>
      <c r="H7" s="282" t="s">
        <v>92</v>
      </c>
      <c r="I7" s="282" t="s">
        <v>93</v>
      </c>
      <c r="J7" s="282" t="s">
        <v>94</v>
      </c>
      <c r="K7" s="282" t="s">
        <v>95</v>
      </c>
      <c r="L7" s="282" t="s">
        <v>96</v>
      </c>
      <c r="M7" s="282" t="s">
        <v>97</v>
      </c>
      <c r="N7" s="281" t="s">
        <v>98</v>
      </c>
      <c r="O7" s="282" t="s">
        <v>99</v>
      </c>
      <c r="P7" s="282" t="s">
        <v>100</v>
      </c>
      <c r="Q7" s="282" t="s">
        <v>101</v>
      </c>
      <c r="R7" s="282" t="s">
        <v>102</v>
      </c>
    </row>
    <row r="8" spans="1:29" ht="15" customHeight="1" x14ac:dyDescent="0.25">
      <c r="B8" s="34">
        <v>1</v>
      </c>
      <c r="C8" s="72">
        <v>166.3</v>
      </c>
      <c r="D8" s="57" t="s">
        <v>265</v>
      </c>
      <c r="E8" s="41" t="s">
        <v>157</v>
      </c>
      <c r="F8" s="41"/>
      <c r="G8" s="41"/>
      <c r="H8" s="41" t="s">
        <v>915</v>
      </c>
      <c r="I8" s="88" t="s">
        <v>916</v>
      </c>
      <c r="J8" s="283">
        <v>30156.75</v>
      </c>
      <c r="K8" s="284">
        <f t="shared" ref="K8:K71" si="0">(1+L8)</f>
        <v>1</v>
      </c>
      <c r="L8" s="285">
        <v>0</v>
      </c>
      <c r="M8" s="283">
        <f>J8*K8</f>
        <v>30156.75</v>
      </c>
      <c r="N8" s="283" t="s">
        <v>917</v>
      </c>
      <c r="O8" s="253">
        <f>M8</f>
        <v>30156.75</v>
      </c>
      <c r="P8" s="283" t="s">
        <v>918</v>
      </c>
      <c r="Q8" s="283">
        <f t="shared" ref="Q8:Q39" si="1">M8*1.18</f>
        <v>35584.964999999997</v>
      </c>
      <c r="R8" s="283">
        <f t="shared" ref="R8:R39" si="2">M8*1.26</f>
        <v>37997.504999999997</v>
      </c>
      <c r="S8" s="33">
        <v>30156.75</v>
      </c>
      <c r="U8" s="286">
        <f>'Individual Indexing Cal.'!K5</f>
        <v>5.7349192863212217E-3</v>
      </c>
      <c r="V8" s="286">
        <f>'Individual Indexing Cal.'!K6</f>
        <v>1.2634378809708687E-2</v>
      </c>
      <c r="W8" s="286">
        <f>'Individual Indexing Cal.'!K7</f>
        <v>3.3828064764842132E-2</v>
      </c>
      <c r="X8" s="286">
        <f>'Individual Indexing Cal.'!K8</f>
        <v>2.2263450834879406E-2</v>
      </c>
      <c r="Y8" s="286">
        <f>'Individual Indexing Cal.'!K9</f>
        <v>5.922203874811445E-2</v>
      </c>
      <c r="Z8" s="35" t="s">
        <v>909</v>
      </c>
    </row>
    <row r="9" spans="1:29" ht="25.5" customHeight="1" x14ac:dyDescent="0.25">
      <c r="B9" s="34">
        <v>2</v>
      </c>
      <c r="C9" s="72">
        <v>166.1</v>
      </c>
      <c r="D9" s="251" t="s">
        <v>919</v>
      </c>
      <c r="E9" s="41" t="s">
        <v>157</v>
      </c>
      <c r="F9" s="41"/>
      <c r="G9" s="41"/>
      <c r="H9" s="41" t="s">
        <v>915</v>
      </c>
      <c r="I9" s="88" t="s">
        <v>916</v>
      </c>
      <c r="J9" s="287">
        <v>32894.261399999996</v>
      </c>
      <c r="K9" s="284">
        <f t="shared" si="0"/>
        <v>1.0126343788097087</v>
      </c>
      <c r="L9" s="285">
        <f>$V$8</f>
        <v>1.2634378809708687E-2</v>
      </c>
      <c r="M9" s="283">
        <f t="shared" ref="M9:M122" si="3">J9*K9</f>
        <v>33309.859959193178</v>
      </c>
      <c r="N9" s="283" t="s">
        <v>920</v>
      </c>
      <c r="O9" s="253">
        <f t="shared" ref="O9:O71" si="4">M9</f>
        <v>33309.859959193178</v>
      </c>
      <c r="P9" s="283" t="s">
        <v>918</v>
      </c>
      <c r="Q9" s="283">
        <f t="shared" si="1"/>
        <v>39305.634751847945</v>
      </c>
      <c r="R9" s="283">
        <f t="shared" si="2"/>
        <v>41970.423548583407</v>
      </c>
      <c r="S9" s="33">
        <v>30156.75</v>
      </c>
      <c r="U9" s="286">
        <f>'Individual Indexing Cal.'!L5</f>
        <v>4.4101433296582136E-2</v>
      </c>
      <c r="V9" s="286">
        <f>'Individual Indexing Cal.'!L6</f>
        <v>2.7437310244012116E-2</v>
      </c>
      <c r="W9" s="286">
        <f>'Individual Indexing Cal.'!L7</f>
        <v>0.10348729554572576</v>
      </c>
      <c r="X9" s="286">
        <f>'Individual Indexing Cal.'!L8</f>
        <v>3.9465741020223502E-2</v>
      </c>
      <c r="Y9" s="286">
        <f>'Individual Indexing Cal.'!L9</f>
        <v>0.11439487864293353</v>
      </c>
      <c r="Z9" s="35" t="s">
        <v>921</v>
      </c>
    </row>
    <row r="10" spans="1:29" ht="25.5" customHeight="1" x14ac:dyDescent="0.25">
      <c r="B10" s="34">
        <v>3</v>
      </c>
      <c r="C10" s="72" t="s">
        <v>922</v>
      </c>
      <c r="D10" s="251" t="s">
        <v>923</v>
      </c>
      <c r="E10" s="41" t="s">
        <v>157</v>
      </c>
      <c r="F10" s="41"/>
      <c r="G10" s="41"/>
      <c r="H10" s="41" t="s">
        <v>924</v>
      </c>
      <c r="I10" s="88" t="s">
        <v>916</v>
      </c>
      <c r="J10" s="283">
        <v>11848.200000000003</v>
      </c>
      <c r="K10" s="284">
        <f t="shared" si="0"/>
        <v>1.0126343788097087</v>
      </c>
      <c r="L10" s="285">
        <f>$V$8</f>
        <v>1.2634378809708687E-2</v>
      </c>
      <c r="M10" s="283">
        <f t="shared" si="3"/>
        <v>11997.894647013194</v>
      </c>
      <c r="N10" s="283" t="s">
        <v>925</v>
      </c>
      <c r="O10" s="253">
        <f t="shared" si="4"/>
        <v>11997.894647013194</v>
      </c>
      <c r="P10" s="283" t="s">
        <v>918</v>
      </c>
      <c r="Q10" s="283">
        <f t="shared" si="1"/>
        <v>14157.515683475569</v>
      </c>
      <c r="R10" s="283">
        <f t="shared" si="2"/>
        <v>15117.347255236624</v>
      </c>
      <c r="S10" s="33"/>
      <c r="T10" s="288"/>
      <c r="U10" s="289"/>
      <c r="V10" s="289"/>
      <c r="W10" s="289"/>
      <c r="X10" s="289"/>
      <c r="Y10" s="289"/>
    </row>
    <row r="11" spans="1:29" ht="25.5" customHeight="1" x14ac:dyDescent="0.25">
      <c r="B11" s="34">
        <v>4</v>
      </c>
      <c r="C11" s="72" t="s">
        <v>926</v>
      </c>
      <c r="D11" s="251" t="s">
        <v>927</v>
      </c>
      <c r="E11" s="41" t="s">
        <v>157</v>
      </c>
      <c r="F11" s="41"/>
      <c r="G11" s="41"/>
      <c r="H11" s="41" t="s">
        <v>924</v>
      </c>
      <c r="I11" s="88" t="s">
        <v>916</v>
      </c>
      <c r="J11" s="283">
        <v>13455</v>
      </c>
      <c r="K11" s="284">
        <f t="shared" si="0"/>
        <v>1.0126343788097087</v>
      </c>
      <c r="L11" s="285">
        <f>$V$8</f>
        <v>1.2634378809708687E-2</v>
      </c>
      <c r="M11" s="283">
        <f t="shared" si="3"/>
        <v>13624.995566884631</v>
      </c>
      <c r="N11" s="283" t="s">
        <v>925</v>
      </c>
      <c r="O11" s="253">
        <f t="shared" si="4"/>
        <v>13624.995566884631</v>
      </c>
      <c r="P11" s="283" t="s">
        <v>918</v>
      </c>
      <c r="Q11" s="283">
        <f t="shared" si="1"/>
        <v>16077.494768923863</v>
      </c>
      <c r="R11" s="283">
        <f t="shared" si="2"/>
        <v>17167.494414274635</v>
      </c>
      <c r="S11" s="33"/>
      <c r="T11" s="288"/>
      <c r="U11" s="289"/>
      <c r="V11" s="289"/>
      <c r="W11" s="289"/>
      <c r="X11" s="289"/>
      <c r="Y11" s="289"/>
    </row>
    <row r="12" spans="1:29" ht="25.5" customHeight="1" x14ac:dyDescent="0.25">
      <c r="B12" s="34">
        <v>5</v>
      </c>
      <c r="C12" s="72" t="s">
        <v>928</v>
      </c>
      <c r="D12" s="251" t="s">
        <v>929</v>
      </c>
      <c r="E12" s="41" t="s">
        <v>157</v>
      </c>
      <c r="F12" s="41"/>
      <c r="G12" s="41"/>
      <c r="H12" s="41" t="s">
        <v>924</v>
      </c>
      <c r="I12" s="88" t="s">
        <v>916</v>
      </c>
      <c r="J12" s="283">
        <v>22236.5</v>
      </c>
      <c r="K12" s="284">
        <f t="shared" si="0"/>
        <v>1.0126343788097087</v>
      </c>
      <c r="L12" s="285">
        <f>$V$8</f>
        <v>1.2634378809708687E-2</v>
      </c>
      <c r="M12" s="283">
        <f t="shared" si="3"/>
        <v>22517.44436440209</v>
      </c>
      <c r="N12" s="283" t="s">
        <v>925</v>
      </c>
      <c r="O12" s="253">
        <f t="shared" si="4"/>
        <v>22517.44436440209</v>
      </c>
      <c r="P12" s="283" t="s">
        <v>918</v>
      </c>
      <c r="Q12" s="283">
        <f t="shared" si="1"/>
        <v>26570.584349994464</v>
      </c>
      <c r="R12" s="283">
        <f t="shared" si="2"/>
        <v>28371.979899146634</v>
      </c>
      <c r="S12" s="33"/>
      <c r="T12" s="288"/>
      <c r="U12" s="289"/>
      <c r="V12" s="289"/>
      <c r="W12" s="289"/>
      <c r="X12" s="289"/>
      <c r="Y12" s="289"/>
    </row>
    <row r="13" spans="1:29" ht="15" customHeight="1" x14ac:dyDescent="0.25">
      <c r="B13" s="34">
        <v>6</v>
      </c>
      <c r="C13" s="72">
        <v>164.1</v>
      </c>
      <c r="D13" s="251" t="s">
        <v>308</v>
      </c>
      <c r="E13" s="41" t="s">
        <v>157</v>
      </c>
      <c r="F13" s="41"/>
      <c r="G13" s="41"/>
      <c r="H13" s="41" t="s">
        <v>915</v>
      </c>
      <c r="I13" s="88" t="s">
        <v>930</v>
      </c>
      <c r="J13" s="283">
        <v>4599.1949999999997</v>
      </c>
      <c r="K13" s="284">
        <f t="shared" si="0"/>
        <v>1.0338280647648421</v>
      </c>
      <c r="L13" s="285">
        <f>$W$8</f>
        <v>3.3828064764842132E-2</v>
      </c>
      <c r="M13" s="283">
        <f t="shared" si="3"/>
        <v>4754.7768663261377</v>
      </c>
      <c r="N13" s="283" t="s">
        <v>931</v>
      </c>
      <c r="O13" s="253">
        <f t="shared" si="4"/>
        <v>4754.7768663261377</v>
      </c>
      <c r="P13" s="283" t="s">
        <v>918</v>
      </c>
      <c r="Q13" s="283">
        <f t="shared" si="1"/>
        <v>5610.6367022648419</v>
      </c>
      <c r="R13" s="283">
        <f t="shared" si="2"/>
        <v>5991.0188515709333</v>
      </c>
      <c r="S13" s="33">
        <v>4930</v>
      </c>
      <c r="T13" s="33"/>
    </row>
    <row r="14" spans="1:29" ht="15" customHeight="1" thickBot="1" x14ac:dyDescent="0.3">
      <c r="B14" s="34">
        <v>7</v>
      </c>
      <c r="C14" s="72">
        <v>165.1</v>
      </c>
      <c r="D14" s="251" t="s">
        <v>338</v>
      </c>
      <c r="E14" s="41" t="s">
        <v>157</v>
      </c>
      <c r="F14" s="41"/>
      <c r="G14" s="41"/>
      <c r="H14" s="41" t="s">
        <v>915</v>
      </c>
      <c r="I14" s="88" t="s">
        <v>932</v>
      </c>
      <c r="J14" s="283">
        <v>2588.81</v>
      </c>
      <c r="K14" s="284">
        <f t="shared" si="0"/>
        <v>1.0338280647648421</v>
      </c>
      <c r="L14" s="285">
        <f>$W$8</f>
        <v>3.3828064764842132E-2</v>
      </c>
      <c r="M14" s="283">
        <f t="shared" si="3"/>
        <v>2676.3844323438707</v>
      </c>
      <c r="N14" s="283" t="s">
        <v>933</v>
      </c>
      <c r="O14" s="253">
        <f t="shared" si="4"/>
        <v>2676.3844323438707</v>
      </c>
      <c r="P14" s="283" t="s">
        <v>918</v>
      </c>
      <c r="Q14" s="283">
        <f t="shared" si="1"/>
        <v>3158.133630165767</v>
      </c>
      <c r="R14" s="283">
        <f t="shared" si="2"/>
        <v>3372.2443847532772</v>
      </c>
      <c r="S14" s="33">
        <v>2588.81</v>
      </c>
      <c r="T14" s="33"/>
      <c r="W14" s="33" t="s">
        <v>934</v>
      </c>
    </row>
    <row r="15" spans="1:29" ht="15" customHeight="1" x14ac:dyDescent="0.25">
      <c r="B15" s="34">
        <v>8</v>
      </c>
      <c r="C15" s="72">
        <v>167.1</v>
      </c>
      <c r="D15" s="251" t="s">
        <v>935</v>
      </c>
      <c r="E15" s="41" t="s">
        <v>157</v>
      </c>
      <c r="F15" s="41"/>
      <c r="G15" s="41"/>
      <c r="H15" s="41" t="s">
        <v>915</v>
      </c>
      <c r="I15" s="88" t="s">
        <v>916</v>
      </c>
      <c r="J15" s="283">
        <v>14638</v>
      </c>
      <c r="K15" s="284">
        <f t="shared" si="0"/>
        <v>1.0274373102440122</v>
      </c>
      <c r="L15" s="285">
        <f>$V$9</f>
        <v>2.7437310244012116E-2</v>
      </c>
      <c r="M15" s="283">
        <f t="shared" si="3"/>
        <v>15039.62734735185</v>
      </c>
      <c r="N15" s="283" t="s">
        <v>936</v>
      </c>
      <c r="O15" s="253">
        <f t="shared" si="4"/>
        <v>15039.62734735185</v>
      </c>
      <c r="P15" s="283" t="s">
        <v>918</v>
      </c>
      <c r="Q15" s="283">
        <f t="shared" si="1"/>
        <v>17746.760269875183</v>
      </c>
      <c r="R15" s="283">
        <f t="shared" si="2"/>
        <v>18949.930457663333</v>
      </c>
      <c r="S15" s="33"/>
      <c r="T15" s="33"/>
      <c r="U15" s="290"/>
      <c r="V15" s="291">
        <v>157</v>
      </c>
      <c r="W15" s="291" t="s">
        <v>937</v>
      </c>
      <c r="X15" s="291"/>
      <c r="Y15" s="291"/>
      <c r="Z15" s="292"/>
    </row>
    <row r="16" spans="1:29" ht="25.5" customHeight="1" x14ac:dyDescent="0.25">
      <c r="B16" s="34">
        <v>9</v>
      </c>
      <c r="C16" s="72" t="s">
        <v>680</v>
      </c>
      <c r="D16" s="251" t="s">
        <v>938</v>
      </c>
      <c r="E16" s="41" t="s">
        <v>157</v>
      </c>
      <c r="F16" s="41"/>
      <c r="G16" s="41"/>
      <c r="H16" s="41" t="s">
        <v>915</v>
      </c>
      <c r="I16" s="88" t="s">
        <v>916</v>
      </c>
      <c r="J16" s="283">
        <v>21474</v>
      </c>
      <c r="K16" s="284">
        <f t="shared" si="0"/>
        <v>1.0126343788097087</v>
      </c>
      <c r="L16" s="285">
        <f>$V$8</f>
        <v>1.2634378809708687E-2</v>
      </c>
      <c r="M16" s="283">
        <f t="shared" si="3"/>
        <v>21745.310650559684</v>
      </c>
      <c r="N16" s="283" t="s">
        <v>939</v>
      </c>
      <c r="O16" s="253">
        <f t="shared" si="4"/>
        <v>21745.310650559684</v>
      </c>
      <c r="P16" s="283" t="s">
        <v>918</v>
      </c>
      <c r="Q16" s="283">
        <f t="shared" si="1"/>
        <v>25659.466567660427</v>
      </c>
      <c r="R16" s="283">
        <f t="shared" si="2"/>
        <v>27399.091419705201</v>
      </c>
      <c r="S16" s="325">
        <v>18084.53</v>
      </c>
      <c r="T16" s="325">
        <v>15051.07</v>
      </c>
      <c r="U16" s="293"/>
      <c r="V16" s="294"/>
      <c r="W16" s="294"/>
      <c r="X16" s="294"/>
      <c r="Y16" s="294"/>
      <c r="Z16" s="295"/>
    </row>
    <row r="17" spans="2:26" ht="51" customHeight="1" x14ac:dyDescent="0.25">
      <c r="B17" s="34">
        <v>10</v>
      </c>
      <c r="C17" s="72" t="s">
        <v>247</v>
      </c>
      <c r="D17" s="251" t="s">
        <v>940</v>
      </c>
      <c r="E17" s="41" t="s">
        <v>157</v>
      </c>
      <c r="F17" s="41"/>
      <c r="G17" s="41"/>
      <c r="H17" s="41" t="s">
        <v>924</v>
      </c>
      <c r="I17" s="88" t="s">
        <v>930</v>
      </c>
      <c r="J17" s="283">
        <v>1284</v>
      </c>
      <c r="K17" s="284">
        <f t="shared" si="0"/>
        <v>1</v>
      </c>
      <c r="L17" s="285">
        <v>0</v>
      </c>
      <c r="M17" s="283">
        <f t="shared" si="3"/>
        <v>1284</v>
      </c>
      <c r="N17" s="283" t="s">
        <v>941</v>
      </c>
      <c r="O17" s="253">
        <f t="shared" si="4"/>
        <v>1284</v>
      </c>
      <c r="P17" s="283" t="s">
        <v>918</v>
      </c>
      <c r="Q17" s="283">
        <f t="shared" si="1"/>
        <v>1515.12</v>
      </c>
      <c r="R17" s="283">
        <f t="shared" si="2"/>
        <v>1617.84</v>
      </c>
      <c r="S17" s="33"/>
      <c r="T17" s="33"/>
      <c r="U17" s="293"/>
      <c r="V17" s="294">
        <f>V15/1000000</f>
        <v>1.5699999999999999E-4</v>
      </c>
      <c r="W17" s="294" t="s">
        <v>942</v>
      </c>
      <c r="X17" s="294"/>
      <c r="Y17" s="294"/>
      <c r="Z17" s="295"/>
    </row>
    <row r="18" spans="2:26" ht="15" customHeight="1" x14ac:dyDescent="0.25">
      <c r="B18" s="34">
        <v>11</v>
      </c>
      <c r="C18" s="72">
        <v>119.1</v>
      </c>
      <c r="D18" s="251" t="s">
        <v>943</v>
      </c>
      <c r="E18" s="41" t="s">
        <v>157</v>
      </c>
      <c r="F18" s="41"/>
      <c r="G18" s="41"/>
      <c r="H18" s="41" t="s">
        <v>915</v>
      </c>
      <c r="I18" s="88" t="s">
        <v>930</v>
      </c>
      <c r="J18" s="283">
        <v>272.5</v>
      </c>
      <c r="K18" s="284">
        <f t="shared" si="0"/>
        <v>1.0338280647648421</v>
      </c>
      <c r="L18" s="285">
        <f>$W$8</f>
        <v>3.3828064764842132E-2</v>
      </c>
      <c r="M18" s="283">
        <f t="shared" si="3"/>
        <v>281.71814764841946</v>
      </c>
      <c r="N18" s="283" t="s">
        <v>931</v>
      </c>
      <c r="O18" s="253">
        <f t="shared" si="4"/>
        <v>281.71814764841946</v>
      </c>
      <c r="P18" s="283" t="s">
        <v>918</v>
      </c>
      <c r="Q18" s="283">
        <f t="shared" si="1"/>
        <v>332.42741422513495</v>
      </c>
      <c r="R18" s="283">
        <f t="shared" si="2"/>
        <v>354.96486603700851</v>
      </c>
      <c r="S18" s="33"/>
      <c r="T18" s="33"/>
      <c r="U18" s="293"/>
      <c r="V18" s="294"/>
      <c r="W18" s="294"/>
      <c r="X18" s="294"/>
      <c r="Y18" s="294"/>
      <c r="Z18" s="295"/>
    </row>
    <row r="19" spans="2:26" ht="15" customHeight="1" x14ac:dyDescent="0.25">
      <c r="B19" s="34">
        <v>12</v>
      </c>
      <c r="C19" s="41">
        <v>20.100000000000001</v>
      </c>
      <c r="D19" s="251" t="s">
        <v>283</v>
      </c>
      <c r="E19" s="88" t="s">
        <v>234</v>
      </c>
      <c r="F19" s="41"/>
      <c r="G19" s="41"/>
      <c r="H19" s="41" t="s">
        <v>915</v>
      </c>
      <c r="I19" s="88" t="s">
        <v>916</v>
      </c>
      <c r="J19" s="283">
        <v>160465.15</v>
      </c>
      <c r="K19" s="284">
        <f t="shared" si="0"/>
        <v>1.0441014332965821</v>
      </c>
      <c r="L19" s="285">
        <f>$U$9</f>
        <v>4.4101433296582136E-2</v>
      </c>
      <c r="M19" s="283">
        <f t="shared" si="3"/>
        <v>167541.89310915105</v>
      </c>
      <c r="N19" s="283" t="s">
        <v>936</v>
      </c>
      <c r="O19" s="253">
        <f t="shared" si="4"/>
        <v>167541.89310915105</v>
      </c>
      <c r="P19" s="283" t="s">
        <v>918</v>
      </c>
      <c r="Q19" s="283">
        <f t="shared" si="1"/>
        <v>197699.43386879822</v>
      </c>
      <c r="R19" s="283">
        <f t="shared" si="2"/>
        <v>211102.78531753033</v>
      </c>
      <c r="S19" s="33">
        <v>129664.78</v>
      </c>
      <c r="T19" s="33"/>
      <c r="U19" s="293" t="s">
        <v>944</v>
      </c>
      <c r="V19" s="294">
        <v>165.1</v>
      </c>
      <c r="W19" s="294" t="s">
        <v>945</v>
      </c>
      <c r="X19" s="294">
        <f>V19/2</f>
        <v>82.55</v>
      </c>
      <c r="Y19" s="294">
        <f>(X19^2)*(22/7)</f>
        <v>21417.007857142857</v>
      </c>
      <c r="Z19" s="295" t="s">
        <v>946</v>
      </c>
    </row>
    <row r="20" spans="2:26" ht="15" customHeight="1" x14ac:dyDescent="0.25">
      <c r="B20" s="34">
        <v>13</v>
      </c>
      <c r="C20" s="72">
        <v>21.1</v>
      </c>
      <c r="D20" s="251" t="s">
        <v>947</v>
      </c>
      <c r="E20" s="88" t="s">
        <v>234</v>
      </c>
      <c r="F20" s="41"/>
      <c r="G20" s="41"/>
      <c r="H20" s="41" t="s">
        <v>915</v>
      </c>
      <c r="I20" s="88" t="s">
        <v>916</v>
      </c>
      <c r="J20" s="283">
        <v>104096.82</v>
      </c>
      <c r="K20" s="284">
        <f t="shared" si="0"/>
        <v>1.0441014332965821</v>
      </c>
      <c r="L20" s="285">
        <f>$U$9</f>
        <v>4.4101433296582136E-2</v>
      </c>
      <c r="M20" s="283">
        <f t="shared" si="3"/>
        <v>108687.63896361632</v>
      </c>
      <c r="N20" s="283" t="s">
        <v>936</v>
      </c>
      <c r="O20" s="253">
        <f t="shared" si="4"/>
        <v>108687.63896361632</v>
      </c>
      <c r="P20" s="283" t="s">
        <v>918</v>
      </c>
      <c r="Q20" s="283">
        <f t="shared" si="1"/>
        <v>128251.41397706725</v>
      </c>
      <c r="R20" s="283">
        <f t="shared" si="2"/>
        <v>136946.42509415656</v>
      </c>
      <c r="S20" s="33">
        <v>93855.29</v>
      </c>
      <c r="T20" s="33"/>
      <c r="U20" s="293" t="s">
        <v>948</v>
      </c>
      <c r="V20" s="294">
        <v>20</v>
      </c>
      <c r="W20" s="294" t="s">
        <v>945</v>
      </c>
      <c r="X20" s="294"/>
      <c r="Y20" s="294"/>
      <c r="Z20" s="295"/>
    </row>
    <row r="21" spans="2:26" ht="15" customHeight="1" x14ac:dyDescent="0.25">
      <c r="B21" s="34">
        <v>14</v>
      </c>
      <c r="C21" s="72">
        <v>22.1</v>
      </c>
      <c r="D21" s="251" t="s">
        <v>949</v>
      </c>
      <c r="E21" s="88" t="s">
        <v>234</v>
      </c>
      <c r="F21" s="41"/>
      <c r="G21" s="41"/>
      <c r="H21" s="41" t="s">
        <v>915</v>
      </c>
      <c r="I21" s="88" t="s">
        <v>916</v>
      </c>
      <c r="J21" s="283">
        <v>64020.53</v>
      </c>
      <c r="K21" s="284">
        <f t="shared" si="0"/>
        <v>1.0441014332965821</v>
      </c>
      <c r="L21" s="285">
        <f>$U$9</f>
        <v>4.4101433296582136E-2</v>
      </c>
      <c r="M21" s="283">
        <f t="shared" si="3"/>
        <v>66843.927133406833</v>
      </c>
      <c r="N21" s="283" t="s">
        <v>936</v>
      </c>
      <c r="O21" s="253">
        <f t="shared" si="4"/>
        <v>66843.927133406833</v>
      </c>
      <c r="P21" s="283" t="s">
        <v>918</v>
      </c>
      <c r="Q21" s="283">
        <f t="shared" si="1"/>
        <v>78875.834017420057</v>
      </c>
      <c r="R21" s="283">
        <f t="shared" si="2"/>
        <v>84223.348188092612</v>
      </c>
      <c r="S21" s="33">
        <v>55790.75</v>
      </c>
      <c r="T21" s="33"/>
      <c r="U21" s="293"/>
      <c r="V21" s="294"/>
      <c r="W21" s="294"/>
      <c r="X21" s="294"/>
      <c r="Y21" s="294">
        <f>Y19*V17</f>
        <v>3.3624702335714285</v>
      </c>
      <c r="Z21" s="295" t="s">
        <v>950</v>
      </c>
    </row>
    <row r="22" spans="2:26" ht="15.75" customHeight="1" thickBot="1" x14ac:dyDescent="0.3">
      <c r="B22" s="34">
        <v>15</v>
      </c>
      <c r="C22" s="72">
        <v>23.1</v>
      </c>
      <c r="D22" s="82" t="s">
        <v>309</v>
      </c>
      <c r="E22" s="88" t="s">
        <v>234</v>
      </c>
      <c r="F22" s="41"/>
      <c r="G22" s="41"/>
      <c r="H22" s="41" t="s">
        <v>915</v>
      </c>
      <c r="I22" s="88" t="s">
        <v>916</v>
      </c>
      <c r="J22" s="283">
        <v>37831</v>
      </c>
      <c r="K22" s="284">
        <f t="shared" si="0"/>
        <v>1.0126343788097087</v>
      </c>
      <c r="L22" s="285">
        <f>$V$8</f>
        <v>1.2634378809708687E-2</v>
      </c>
      <c r="M22" s="283">
        <f t="shared" si="3"/>
        <v>38308.971184750095</v>
      </c>
      <c r="N22" s="283" t="s">
        <v>933</v>
      </c>
      <c r="O22" s="253">
        <f t="shared" si="4"/>
        <v>38308.971184750095</v>
      </c>
      <c r="P22" s="283" t="s">
        <v>918</v>
      </c>
      <c r="Q22" s="283">
        <f t="shared" si="1"/>
        <v>45204.58599800511</v>
      </c>
      <c r="R22" s="283">
        <f t="shared" si="2"/>
        <v>48269.303692785121</v>
      </c>
      <c r="S22" s="33"/>
      <c r="T22" s="33"/>
      <c r="U22" s="296"/>
      <c r="V22" s="297"/>
      <c r="W22" s="297"/>
      <c r="X22" s="297"/>
      <c r="Y22" s="297">
        <f>ROUND(Y21,2)</f>
        <v>3.36</v>
      </c>
      <c r="Z22" s="298"/>
    </row>
    <row r="23" spans="2:26" customFormat="1" ht="38.25" customHeight="1" x14ac:dyDescent="0.25">
      <c r="B23" s="34">
        <v>16</v>
      </c>
      <c r="C23" s="84" t="s">
        <v>492</v>
      </c>
      <c r="D23" s="57" t="s">
        <v>951</v>
      </c>
      <c r="E23" s="89" t="s">
        <v>234</v>
      </c>
      <c r="F23" s="299"/>
      <c r="G23" s="299"/>
      <c r="H23" s="41" t="s">
        <v>915</v>
      </c>
      <c r="I23" s="299" t="s">
        <v>916</v>
      </c>
      <c r="J23" s="283">
        <v>28083.94</v>
      </c>
      <c r="K23" s="284">
        <f t="shared" si="0"/>
        <v>1</v>
      </c>
      <c r="L23" s="285">
        <v>0</v>
      </c>
      <c r="M23" s="283">
        <f t="shared" si="3"/>
        <v>28083.94</v>
      </c>
      <c r="N23" s="283" t="s">
        <v>952</v>
      </c>
      <c r="O23" s="253">
        <f t="shared" si="4"/>
        <v>28083.94</v>
      </c>
      <c r="P23" s="283" t="s">
        <v>918</v>
      </c>
      <c r="Q23" s="283">
        <f t="shared" si="1"/>
        <v>33139.049199999994</v>
      </c>
      <c r="R23" s="283">
        <f t="shared" si="2"/>
        <v>35385.7644</v>
      </c>
      <c r="S23">
        <v>28083.94</v>
      </c>
    </row>
    <row r="24" spans="2:26" ht="15" customHeight="1" x14ac:dyDescent="0.25">
      <c r="B24" s="34">
        <v>17</v>
      </c>
      <c r="C24" s="72">
        <v>24.1</v>
      </c>
      <c r="D24" s="251" t="s">
        <v>953</v>
      </c>
      <c r="E24" s="88" t="s">
        <v>234</v>
      </c>
      <c r="F24" s="41"/>
      <c r="G24" s="41"/>
      <c r="H24" s="41" t="s">
        <v>915</v>
      </c>
      <c r="I24" s="88" t="s">
        <v>916</v>
      </c>
      <c r="J24" s="283">
        <v>19900</v>
      </c>
      <c r="K24" s="284">
        <f t="shared" si="0"/>
        <v>1.0126343788097087</v>
      </c>
      <c r="L24" s="285">
        <f>$V$8</f>
        <v>1.2634378809708687E-2</v>
      </c>
      <c r="M24" s="283">
        <f t="shared" si="3"/>
        <v>20151.424138313203</v>
      </c>
      <c r="N24" s="283" t="s">
        <v>933</v>
      </c>
      <c r="O24" s="253">
        <f t="shared" si="4"/>
        <v>20151.424138313203</v>
      </c>
      <c r="P24" s="283" t="s">
        <v>918</v>
      </c>
      <c r="Q24" s="283">
        <f t="shared" si="1"/>
        <v>23778.680483209577</v>
      </c>
      <c r="R24" s="283">
        <f t="shared" si="2"/>
        <v>25390.794414274635</v>
      </c>
      <c r="S24" s="33">
        <v>19900</v>
      </c>
      <c r="T24" s="33"/>
    </row>
    <row r="25" spans="2:26" ht="15" customHeight="1" x14ac:dyDescent="0.25">
      <c r="B25" s="34">
        <v>18</v>
      </c>
      <c r="C25" s="72">
        <v>87.1</v>
      </c>
      <c r="D25" s="82" t="s">
        <v>954</v>
      </c>
      <c r="E25" s="88" t="s">
        <v>157</v>
      </c>
      <c r="F25" s="41"/>
      <c r="G25" s="41"/>
      <c r="H25" s="41" t="s">
        <v>915</v>
      </c>
      <c r="I25" s="88" t="s">
        <v>930</v>
      </c>
      <c r="J25" s="283">
        <v>495.2</v>
      </c>
      <c r="K25" s="284">
        <f t="shared" si="0"/>
        <v>1.0267365704887732</v>
      </c>
      <c r="L25" s="285">
        <f>$L$3</f>
        <v>2.6736570488773183E-2</v>
      </c>
      <c r="M25" s="283">
        <f t="shared" si="3"/>
        <v>508.43994970604047</v>
      </c>
      <c r="N25" s="283" t="s">
        <v>955</v>
      </c>
      <c r="O25" s="253">
        <f t="shared" si="4"/>
        <v>508.43994970604047</v>
      </c>
      <c r="P25" s="283" t="s">
        <v>918</v>
      </c>
      <c r="Q25" s="283">
        <f t="shared" si="1"/>
        <v>599.95914065312775</v>
      </c>
      <c r="R25" s="283">
        <f t="shared" si="2"/>
        <v>640.63433662961097</v>
      </c>
      <c r="S25" s="33"/>
      <c r="T25" s="33"/>
    </row>
    <row r="26" spans="2:26" ht="15" customHeight="1" x14ac:dyDescent="0.25">
      <c r="B26" s="34">
        <v>19</v>
      </c>
      <c r="C26" s="72">
        <v>99.1</v>
      </c>
      <c r="D26" s="82" t="s">
        <v>433</v>
      </c>
      <c r="E26" s="88" t="s">
        <v>157</v>
      </c>
      <c r="F26" s="41"/>
      <c r="G26" s="41"/>
      <c r="H26" s="41" t="s">
        <v>915</v>
      </c>
      <c r="I26" s="88" t="s">
        <v>930</v>
      </c>
      <c r="J26" s="283">
        <v>438.45</v>
      </c>
      <c r="K26" s="284">
        <f t="shared" si="0"/>
        <v>1.0267365704887732</v>
      </c>
      <c r="L26" s="285">
        <f>$L$3</f>
        <v>2.6736570488773183E-2</v>
      </c>
      <c r="M26" s="283">
        <f t="shared" si="3"/>
        <v>450.17264933080259</v>
      </c>
      <c r="N26" s="283" t="s">
        <v>956</v>
      </c>
      <c r="O26" s="253">
        <f t="shared" si="4"/>
        <v>450.17264933080259</v>
      </c>
      <c r="P26" s="283" t="s">
        <v>918</v>
      </c>
      <c r="Q26" s="283">
        <f t="shared" si="1"/>
        <v>531.20372621034699</v>
      </c>
      <c r="R26" s="283">
        <f t="shared" si="2"/>
        <v>567.21753815681132</v>
      </c>
      <c r="S26" s="33"/>
      <c r="T26" s="33"/>
    </row>
    <row r="27" spans="2:26" ht="25.5" customHeight="1" x14ac:dyDescent="0.25">
      <c r="B27" s="34">
        <v>20</v>
      </c>
      <c r="C27" s="72" t="s">
        <v>957</v>
      </c>
      <c r="D27" s="82" t="s">
        <v>958</v>
      </c>
      <c r="E27" s="88" t="s">
        <v>157</v>
      </c>
      <c r="F27" s="41"/>
      <c r="G27" s="41"/>
      <c r="H27" s="41" t="s">
        <v>924</v>
      </c>
      <c r="I27" s="88" t="s">
        <v>930</v>
      </c>
      <c r="J27" s="283">
        <v>362</v>
      </c>
      <c r="K27" s="284">
        <f t="shared" si="0"/>
        <v>1.0338280647648421</v>
      </c>
      <c r="L27" s="285">
        <f>$W$8</f>
        <v>3.3828064764842132E-2</v>
      </c>
      <c r="M27" s="283">
        <f t="shared" si="3"/>
        <v>374.24575944487287</v>
      </c>
      <c r="N27" s="283" t="s">
        <v>925</v>
      </c>
      <c r="O27" s="253">
        <f t="shared" si="4"/>
        <v>374.24575944487287</v>
      </c>
      <c r="P27" s="283" t="s">
        <v>918</v>
      </c>
      <c r="Q27" s="283">
        <f t="shared" si="1"/>
        <v>441.60999614494995</v>
      </c>
      <c r="R27" s="283">
        <f t="shared" si="2"/>
        <v>471.54965690053984</v>
      </c>
      <c r="S27" s="33"/>
      <c r="T27" s="33">
        <f>COUNT(#REF!)</f>
        <v>0</v>
      </c>
    </row>
    <row r="28" spans="2:26" ht="25.5" customHeight="1" x14ac:dyDescent="0.25">
      <c r="B28" s="34">
        <v>21</v>
      </c>
      <c r="C28" s="72">
        <v>88.1</v>
      </c>
      <c r="D28" s="82" t="s">
        <v>959</v>
      </c>
      <c r="E28" s="88" t="s">
        <v>157</v>
      </c>
      <c r="F28" s="41"/>
      <c r="G28" s="41"/>
      <c r="H28" s="41" t="s">
        <v>924</v>
      </c>
      <c r="I28" s="88" t="s">
        <v>930</v>
      </c>
      <c r="J28" s="283">
        <v>200</v>
      </c>
      <c r="K28" s="284">
        <f t="shared" si="0"/>
        <v>1.0126343788097087</v>
      </c>
      <c r="L28" s="285">
        <f>$V$8</f>
        <v>1.2634378809708687E-2</v>
      </c>
      <c r="M28" s="283">
        <f t="shared" si="3"/>
        <v>202.52687576194174</v>
      </c>
      <c r="N28" s="283" t="s">
        <v>925</v>
      </c>
      <c r="O28" s="253">
        <f t="shared" si="4"/>
        <v>202.52687576194174</v>
      </c>
      <c r="P28" s="283" t="s">
        <v>918</v>
      </c>
      <c r="Q28" s="283">
        <f t="shared" si="1"/>
        <v>238.98171339909123</v>
      </c>
      <c r="R28" s="283">
        <f t="shared" si="2"/>
        <v>255.18386346004658</v>
      </c>
      <c r="S28" s="33"/>
      <c r="T28" s="33"/>
    </row>
    <row r="29" spans="2:26" ht="15" customHeight="1" x14ac:dyDescent="0.25">
      <c r="B29" s="34">
        <v>22</v>
      </c>
      <c r="C29" s="86">
        <v>89.2</v>
      </c>
      <c r="D29" s="82" t="s">
        <v>960</v>
      </c>
      <c r="E29" s="88" t="s">
        <v>157</v>
      </c>
      <c r="F29" s="41"/>
      <c r="G29" s="41"/>
      <c r="H29" s="41" t="s">
        <v>915</v>
      </c>
      <c r="I29" s="88" t="s">
        <v>930</v>
      </c>
      <c r="J29" s="283">
        <v>559.75</v>
      </c>
      <c r="K29" s="284">
        <f t="shared" si="0"/>
        <v>1.0267365704887732</v>
      </c>
      <c r="L29" s="285">
        <f>$L$3</f>
        <v>2.6736570488773183E-2</v>
      </c>
      <c r="M29" s="283">
        <f t="shared" si="3"/>
        <v>574.71579533109082</v>
      </c>
      <c r="N29" s="283" t="s">
        <v>961</v>
      </c>
      <c r="O29" s="253">
        <f t="shared" si="4"/>
        <v>574.71579533109082</v>
      </c>
      <c r="P29" s="283" t="s">
        <v>918</v>
      </c>
      <c r="Q29" s="283">
        <f t="shared" si="1"/>
        <v>678.16463849068714</v>
      </c>
      <c r="R29" s="283">
        <f t="shared" si="2"/>
        <v>724.14190211717448</v>
      </c>
      <c r="S29" s="33"/>
      <c r="T29" s="33"/>
    </row>
    <row r="30" spans="2:26" ht="15" customHeight="1" x14ac:dyDescent="0.25">
      <c r="B30" s="34">
        <v>23</v>
      </c>
      <c r="C30" s="41">
        <v>100.1</v>
      </c>
      <c r="D30" s="82" t="s">
        <v>434</v>
      </c>
      <c r="E30" s="41" t="s">
        <v>157</v>
      </c>
      <c r="F30" s="41"/>
      <c r="G30" s="41"/>
      <c r="H30" s="41" t="s">
        <v>915</v>
      </c>
      <c r="I30" s="88" t="s">
        <v>930</v>
      </c>
      <c r="J30" s="283">
        <v>643.45333333333338</v>
      </c>
      <c r="K30" s="284">
        <f t="shared" si="0"/>
        <v>1.0267365704887732</v>
      </c>
      <c r="L30" s="285">
        <f>$L$3</f>
        <v>2.6736570488773183E-2</v>
      </c>
      <c r="M30" s="283">
        <f t="shared" si="3"/>
        <v>660.65706873623617</v>
      </c>
      <c r="N30" s="283" t="s">
        <v>956</v>
      </c>
      <c r="O30" s="253">
        <f t="shared" si="4"/>
        <v>660.65706873623617</v>
      </c>
      <c r="P30" s="283" t="s">
        <v>918</v>
      </c>
      <c r="Q30" s="283">
        <f t="shared" si="1"/>
        <v>779.57534110875861</v>
      </c>
      <c r="R30" s="283">
        <f t="shared" si="2"/>
        <v>832.42790660765763</v>
      </c>
      <c r="S30" s="33">
        <v>533.97</v>
      </c>
      <c r="T30" s="33"/>
    </row>
    <row r="31" spans="2:26" ht="25.5" customHeight="1" x14ac:dyDescent="0.25">
      <c r="B31" s="34">
        <v>24</v>
      </c>
      <c r="C31" s="41" t="s">
        <v>962</v>
      </c>
      <c r="D31" s="82" t="s">
        <v>963</v>
      </c>
      <c r="E31" s="41" t="s">
        <v>157</v>
      </c>
      <c r="F31" s="41"/>
      <c r="G31" s="41"/>
      <c r="H31" s="41" t="s">
        <v>924</v>
      </c>
      <c r="I31" s="88" t="s">
        <v>930</v>
      </c>
      <c r="J31" s="283">
        <v>409</v>
      </c>
      <c r="K31" s="284">
        <f t="shared" si="0"/>
        <v>1.0338280647648421</v>
      </c>
      <c r="L31" s="285">
        <f>$W$8</f>
        <v>3.3828064764842132E-2</v>
      </c>
      <c r="M31" s="283">
        <f t="shared" si="3"/>
        <v>422.83567848882041</v>
      </c>
      <c r="N31" s="283" t="s">
        <v>925</v>
      </c>
      <c r="O31" s="253">
        <f t="shared" si="4"/>
        <v>422.83567848882041</v>
      </c>
      <c r="P31" s="283" t="s">
        <v>918</v>
      </c>
      <c r="Q31" s="283">
        <f t="shared" si="1"/>
        <v>498.94610061680805</v>
      </c>
      <c r="R31" s="283">
        <f t="shared" si="2"/>
        <v>532.7729548959137</v>
      </c>
      <c r="S31" s="33"/>
      <c r="T31" s="33">
        <f>COUNT(#REF!)</f>
        <v>0</v>
      </c>
    </row>
    <row r="32" spans="2:26" ht="25.5" customHeight="1" x14ac:dyDescent="0.25">
      <c r="B32" s="34">
        <v>25</v>
      </c>
      <c r="C32" s="41">
        <v>90.1</v>
      </c>
      <c r="D32" s="251" t="s">
        <v>964</v>
      </c>
      <c r="E32" s="88" t="s">
        <v>157</v>
      </c>
      <c r="F32" s="41"/>
      <c r="G32" s="41"/>
      <c r="H32" s="41" t="s">
        <v>924</v>
      </c>
      <c r="I32" s="88" t="s">
        <v>930</v>
      </c>
      <c r="J32" s="283">
        <v>255.20039999999997</v>
      </c>
      <c r="K32" s="284">
        <f t="shared" si="0"/>
        <v>1.0126343788097087</v>
      </c>
      <c r="L32" s="285">
        <f>$V$8</f>
        <v>1.2634378809708687E-2</v>
      </c>
      <c r="M32" s="283">
        <f t="shared" si="3"/>
        <v>258.42469852598919</v>
      </c>
      <c r="N32" s="283" t="s">
        <v>939</v>
      </c>
      <c r="O32" s="253">
        <f t="shared" si="4"/>
        <v>258.42469852598919</v>
      </c>
      <c r="P32" s="283" t="s">
        <v>918</v>
      </c>
      <c r="Q32" s="283">
        <f t="shared" si="1"/>
        <v>304.94114426066722</v>
      </c>
      <c r="R32" s="283">
        <f t="shared" si="2"/>
        <v>325.61512014274638</v>
      </c>
      <c r="S32" s="33"/>
      <c r="T32" s="33"/>
    </row>
    <row r="33" spans="2:21" ht="15" customHeight="1" x14ac:dyDescent="0.25">
      <c r="B33" s="34">
        <v>26</v>
      </c>
      <c r="C33" s="41">
        <v>91.1</v>
      </c>
      <c r="D33" s="251" t="s">
        <v>965</v>
      </c>
      <c r="E33" s="41" t="s">
        <v>157</v>
      </c>
      <c r="F33" s="41"/>
      <c r="G33" s="41"/>
      <c r="H33" s="41" t="s">
        <v>915</v>
      </c>
      <c r="I33" s="88" t="s">
        <v>930</v>
      </c>
      <c r="J33" s="283">
        <v>150.12</v>
      </c>
      <c r="K33" s="284">
        <f t="shared" si="0"/>
        <v>1.0267365704887732</v>
      </c>
      <c r="L33" s="285">
        <f>$L$3</f>
        <v>2.6736570488773183E-2</v>
      </c>
      <c r="M33" s="283">
        <f t="shared" si="3"/>
        <v>154.13369396177464</v>
      </c>
      <c r="N33" s="283" t="s">
        <v>955</v>
      </c>
      <c r="O33" s="253">
        <f t="shared" si="4"/>
        <v>154.13369396177464</v>
      </c>
      <c r="P33" s="283" t="s">
        <v>918</v>
      </c>
      <c r="Q33" s="283">
        <f t="shared" si="1"/>
        <v>181.87775887489406</v>
      </c>
      <c r="R33" s="283">
        <f t="shared" si="2"/>
        <v>194.20845439183606</v>
      </c>
      <c r="S33" s="325">
        <v>170</v>
      </c>
      <c r="T33" s="33"/>
    </row>
    <row r="34" spans="2:21" ht="15" customHeight="1" x14ac:dyDescent="0.25">
      <c r="B34" s="34">
        <v>27</v>
      </c>
      <c r="C34" s="41">
        <v>101.1</v>
      </c>
      <c r="D34" s="251" t="s">
        <v>966</v>
      </c>
      <c r="E34" s="41" t="s">
        <v>157</v>
      </c>
      <c r="F34" s="41"/>
      <c r="G34" s="41"/>
      <c r="H34" s="41" t="s">
        <v>915</v>
      </c>
      <c r="I34" s="88" t="s">
        <v>930</v>
      </c>
      <c r="J34" s="283">
        <v>150.66666666666666</v>
      </c>
      <c r="K34" s="284">
        <f t="shared" si="0"/>
        <v>1.0267365704887732</v>
      </c>
      <c r="L34" s="285">
        <f>$L$3</f>
        <v>2.6736570488773183E-2</v>
      </c>
      <c r="M34" s="283">
        <f t="shared" si="3"/>
        <v>154.69497662030849</v>
      </c>
      <c r="N34" s="283" t="s">
        <v>956</v>
      </c>
      <c r="O34" s="253">
        <f t="shared" si="4"/>
        <v>154.69497662030849</v>
      </c>
      <c r="P34" s="283" t="s">
        <v>918</v>
      </c>
      <c r="Q34" s="283">
        <f t="shared" si="1"/>
        <v>182.54007241196402</v>
      </c>
      <c r="R34" s="283">
        <f t="shared" si="2"/>
        <v>194.9156705415887</v>
      </c>
      <c r="S34" s="325">
        <v>170</v>
      </c>
      <c r="T34" s="325">
        <v>178.98</v>
      </c>
      <c r="U34" s="325">
        <v>390.64</v>
      </c>
    </row>
    <row r="35" spans="2:21" ht="25.5" customHeight="1" x14ac:dyDescent="0.25">
      <c r="B35" s="34">
        <v>28</v>
      </c>
      <c r="C35" s="72" t="s">
        <v>967</v>
      </c>
      <c r="D35" s="251" t="s">
        <v>968</v>
      </c>
      <c r="E35" s="88" t="s">
        <v>157</v>
      </c>
      <c r="F35" s="41"/>
      <c r="G35" s="41"/>
      <c r="H35" s="41" t="s">
        <v>924</v>
      </c>
      <c r="I35" s="88" t="s">
        <v>930</v>
      </c>
      <c r="J35" s="283">
        <v>85</v>
      </c>
      <c r="K35" s="284">
        <f t="shared" si="0"/>
        <v>1.0338280647648421</v>
      </c>
      <c r="L35" s="285">
        <f>$W$8</f>
        <v>3.3828064764842132E-2</v>
      </c>
      <c r="M35" s="283">
        <f t="shared" si="3"/>
        <v>87.875385505011579</v>
      </c>
      <c r="N35" s="283" t="s">
        <v>925</v>
      </c>
      <c r="O35" s="253">
        <f t="shared" si="4"/>
        <v>87.875385505011579</v>
      </c>
      <c r="P35" s="283" t="s">
        <v>918</v>
      </c>
      <c r="Q35" s="283">
        <f t="shared" si="1"/>
        <v>103.69295489591366</v>
      </c>
      <c r="R35" s="283">
        <f t="shared" si="2"/>
        <v>110.72298573631458</v>
      </c>
      <c r="S35" s="33"/>
      <c r="T35" s="33">
        <f>COUNT(#REF!)</f>
        <v>0</v>
      </c>
    </row>
    <row r="36" spans="2:21" ht="25.5" customHeight="1" x14ac:dyDescent="0.25">
      <c r="B36" s="34">
        <v>29</v>
      </c>
      <c r="C36" s="41" t="s">
        <v>969</v>
      </c>
      <c r="D36" s="251" t="s">
        <v>970</v>
      </c>
      <c r="E36" s="41" t="s">
        <v>157</v>
      </c>
      <c r="F36" s="41"/>
      <c r="G36" s="41"/>
      <c r="H36" s="41" t="s">
        <v>924</v>
      </c>
      <c r="I36" s="88" t="s">
        <v>930</v>
      </c>
      <c r="J36" s="283">
        <v>59.925599999999996</v>
      </c>
      <c r="K36" s="284">
        <f t="shared" si="0"/>
        <v>1.0126343788097087</v>
      </c>
      <c r="L36" s="285">
        <f>$V$8</f>
        <v>1.2634378809708687E-2</v>
      </c>
      <c r="M36" s="283">
        <f t="shared" si="3"/>
        <v>60.682722730799078</v>
      </c>
      <c r="N36" s="283" t="s">
        <v>939</v>
      </c>
      <c r="O36" s="253">
        <f t="shared" si="4"/>
        <v>60.682722730799078</v>
      </c>
      <c r="P36" s="283" t="s">
        <v>918</v>
      </c>
      <c r="Q36" s="283">
        <f t="shared" si="1"/>
        <v>71.605612822342906</v>
      </c>
      <c r="R36" s="283">
        <f t="shared" si="2"/>
        <v>76.460230640806842</v>
      </c>
      <c r="S36" s="33"/>
      <c r="T36" s="33"/>
    </row>
    <row r="37" spans="2:21" ht="15" customHeight="1" x14ac:dyDescent="0.25">
      <c r="B37" s="34">
        <v>30</v>
      </c>
      <c r="C37" s="41">
        <v>93.3</v>
      </c>
      <c r="D37" s="251" t="s">
        <v>971</v>
      </c>
      <c r="E37" s="41" t="s">
        <v>157</v>
      </c>
      <c r="F37" s="41"/>
      <c r="G37" s="41"/>
      <c r="H37" s="41" t="s">
        <v>915</v>
      </c>
      <c r="I37" s="88" t="s">
        <v>930</v>
      </c>
      <c r="J37" s="283">
        <v>330.43600000000004</v>
      </c>
      <c r="K37" s="284">
        <f t="shared" si="0"/>
        <v>1.0267365704887732</v>
      </c>
      <c r="L37" s="285">
        <f>$L$3</f>
        <v>2.6736570488773183E-2</v>
      </c>
      <c r="M37" s="283">
        <f t="shared" si="3"/>
        <v>339.2707254060283</v>
      </c>
      <c r="N37" s="283" t="s">
        <v>955</v>
      </c>
      <c r="O37" s="253">
        <f t="shared" si="4"/>
        <v>339.2707254060283</v>
      </c>
      <c r="P37" s="283" t="s">
        <v>918</v>
      </c>
      <c r="Q37" s="283">
        <f t="shared" si="1"/>
        <v>400.33945597911338</v>
      </c>
      <c r="R37" s="283">
        <f t="shared" si="2"/>
        <v>427.48111401159565</v>
      </c>
      <c r="S37" s="325">
        <v>666.5</v>
      </c>
      <c r="T37" s="33"/>
    </row>
    <row r="38" spans="2:21" ht="15" customHeight="1" x14ac:dyDescent="0.25">
      <c r="B38" s="34">
        <v>31</v>
      </c>
      <c r="C38" s="41">
        <v>102.1</v>
      </c>
      <c r="D38" s="251" t="s">
        <v>972</v>
      </c>
      <c r="E38" s="41" t="s">
        <v>157</v>
      </c>
      <c r="F38" s="41"/>
      <c r="G38" s="41"/>
      <c r="H38" s="41" t="s">
        <v>915</v>
      </c>
      <c r="I38" s="88" t="s">
        <v>930</v>
      </c>
      <c r="J38" s="283">
        <v>223.06000000000003</v>
      </c>
      <c r="K38" s="284">
        <f t="shared" si="0"/>
        <v>1.0267365704887732</v>
      </c>
      <c r="L38" s="285">
        <f>$L$3</f>
        <v>2.6736570488773183E-2</v>
      </c>
      <c r="M38" s="283">
        <f t="shared" si="3"/>
        <v>229.02385941322578</v>
      </c>
      <c r="N38" s="283" t="s">
        <v>956</v>
      </c>
      <c r="O38" s="253">
        <f t="shared" si="4"/>
        <v>229.02385941322578</v>
      </c>
      <c r="P38" s="283" t="s">
        <v>918</v>
      </c>
      <c r="Q38" s="283">
        <f t="shared" si="1"/>
        <v>270.24815410760641</v>
      </c>
      <c r="R38" s="283">
        <f t="shared" si="2"/>
        <v>288.57006286066451</v>
      </c>
      <c r="S38" s="262">
        <v>384.97</v>
      </c>
      <c r="T38" s="33"/>
    </row>
    <row r="39" spans="2:21" ht="25.5" customHeight="1" x14ac:dyDescent="0.25">
      <c r="B39" s="34">
        <v>32</v>
      </c>
      <c r="C39" s="86" t="s">
        <v>973</v>
      </c>
      <c r="D39" s="82" t="s">
        <v>974</v>
      </c>
      <c r="E39" s="88" t="s">
        <v>157</v>
      </c>
      <c r="F39" s="41"/>
      <c r="G39" s="41"/>
      <c r="H39" s="41" t="s">
        <v>924</v>
      </c>
      <c r="I39" s="88" t="s">
        <v>930</v>
      </c>
      <c r="J39" s="283">
        <v>312</v>
      </c>
      <c r="K39" s="284">
        <f t="shared" si="0"/>
        <v>1.0338280647648421</v>
      </c>
      <c r="L39" s="285">
        <f>$W$8</f>
        <v>3.3828064764842132E-2</v>
      </c>
      <c r="M39" s="283">
        <f t="shared" si="3"/>
        <v>322.55435620663076</v>
      </c>
      <c r="N39" s="283" t="s">
        <v>925</v>
      </c>
      <c r="O39" s="253">
        <f t="shared" si="4"/>
        <v>322.55435620663076</v>
      </c>
      <c r="P39" s="283" t="s">
        <v>918</v>
      </c>
      <c r="Q39" s="283">
        <f t="shared" si="1"/>
        <v>380.6141403238243</v>
      </c>
      <c r="R39" s="283">
        <f t="shared" si="2"/>
        <v>406.41848882035475</v>
      </c>
      <c r="S39" s="33"/>
      <c r="T39" s="33">
        <f>COUNT(#REF!)</f>
        <v>0</v>
      </c>
    </row>
    <row r="40" spans="2:21" ht="25.5" customHeight="1" x14ac:dyDescent="0.25">
      <c r="B40" s="34">
        <v>33</v>
      </c>
      <c r="C40" s="41" t="s">
        <v>975</v>
      </c>
      <c r="D40" s="82" t="s">
        <v>976</v>
      </c>
      <c r="E40" s="89" t="s">
        <v>157</v>
      </c>
      <c r="F40" s="41"/>
      <c r="G40" s="41"/>
      <c r="H40" s="41" t="s">
        <v>924</v>
      </c>
      <c r="I40" s="88" t="s">
        <v>930</v>
      </c>
      <c r="J40" s="283">
        <v>136</v>
      </c>
      <c r="K40" s="284">
        <f t="shared" si="0"/>
        <v>1.0126343788097087</v>
      </c>
      <c r="L40" s="285">
        <f>$V$8</f>
        <v>1.2634378809708687E-2</v>
      </c>
      <c r="M40" s="283">
        <f t="shared" si="3"/>
        <v>137.71827551812038</v>
      </c>
      <c r="N40" s="283" t="s">
        <v>925</v>
      </c>
      <c r="O40" s="253">
        <f t="shared" si="4"/>
        <v>137.71827551812038</v>
      </c>
      <c r="P40" s="283" t="s">
        <v>918</v>
      </c>
      <c r="Q40" s="283">
        <f t="shared" ref="Q40:Q71" si="5">M40*1.18</f>
        <v>162.50756511138204</v>
      </c>
      <c r="R40" s="283">
        <f t="shared" ref="R40:R71" si="6">M40*1.26</f>
        <v>173.52502715283168</v>
      </c>
      <c r="S40" s="33"/>
      <c r="T40" s="33">
        <f>COUNT(#REF!)</f>
        <v>0</v>
      </c>
    </row>
    <row r="41" spans="2:21" ht="15" customHeight="1" x14ac:dyDescent="0.25">
      <c r="B41" s="34">
        <v>34</v>
      </c>
      <c r="C41" s="72">
        <v>95.1</v>
      </c>
      <c r="D41" s="251" t="s">
        <v>977</v>
      </c>
      <c r="E41" s="88" t="s">
        <v>157</v>
      </c>
      <c r="F41" s="41"/>
      <c r="G41" s="41"/>
      <c r="H41" s="41" t="s">
        <v>915</v>
      </c>
      <c r="I41" s="88" t="s">
        <v>930</v>
      </c>
      <c r="J41" s="283">
        <v>48.666666666666664</v>
      </c>
      <c r="K41" s="284">
        <f t="shared" si="0"/>
        <v>1.0267365704887732</v>
      </c>
      <c r="L41" s="285">
        <f>$L$3</f>
        <v>2.6736570488773183E-2</v>
      </c>
      <c r="M41" s="283">
        <f t="shared" si="3"/>
        <v>49.967846430453626</v>
      </c>
      <c r="N41" s="283" t="s">
        <v>978</v>
      </c>
      <c r="O41" s="253">
        <f t="shared" si="4"/>
        <v>49.967846430453626</v>
      </c>
      <c r="P41" s="283" t="s">
        <v>918</v>
      </c>
      <c r="Q41" s="283">
        <f t="shared" si="5"/>
        <v>58.962058787935277</v>
      </c>
      <c r="R41" s="283">
        <f t="shared" si="6"/>
        <v>62.959486502371568</v>
      </c>
      <c r="S41" s="33"/>
      <c r="T41" s="33"/>
    </row>
    <row r="42" spans="2:21" ht="25.5" customHeight="1" x14ac:dyDescent="0.25">
      <c r="B42" s="34">
        <v>35</v>
      </c>
      <c r="C42" s="86">
        <v>96.1</v>
      </c>
      <c r="D42" s="82" t="s">
        <v>979</v>
      </c>
      <c r="E42" s="88" t="s">
        <v>157</v>
      </c>
      <c r="F42" s="41"/>
      <c r="G42" s="41"/>
      <c r="H42" s="41" t="s">
        <v>924</v>
      </c>
      <c r="I42" s="88" t="s">
        <v>930</v>
      </c>
      <c r="J42" s="283">
        <v>46.44</v>
      </c>
      <c r="K42" s="284">
        <f t="shared" si="0"/>
        <v>1.0126343788097087</v>
      </c>
      <c r="L42" s="285">
        <f>$V$8</f>
        <v>1.2634378809708687E-2</v>
      </c>
      <c r="M42" s="283">
        <f t="shared" si="3"/>
        <v>47.02674055192287</v>
      </c>
      <c r="N42" s="283" t="s">
        <v>925</v>
      </c>
      <c r="O42" s="253">
        <f t="shared" si="4"/>
        <v>47.02674055192287</v>
      </c>
      <c r="P42" s="283" t="s">
        <v>918</v>
      </c>
      <c r="Q42" s="283">
        <f t="shared" si="5"/>
        <v>55.491553851268982</v>
      </c>
      <c r="R42" s="283">
        <f t="shared" si="6"/>
        <v>59.253693095422818</v>
      </c>
      <c r="S42" s="33"/>
      <c r="T42" s="33">
        <f>COUNT(#REF!)</f>
        <v>0</v>
      </c>
    </row>
    <row r="43" spans="2:21" ht="15" customHeight="1" x14ac:dyDescent="0.25">
      <c r="B43" s="34">
        <v>36</v>
      </c>
      <c r="C43" s="72">
        <v>97.1</v>
      </c>
      <c r="D43" s="251" t="s">
        <v>980</v>
      </c>
      <c r="E43" s="88" t="s">
        <v>157</v>
      </c>
      <c r="F43" s="41"/>
      <c r="G43" s="41"/>
      <c r="H43" s="41" t="s">
        <v>915</v>
      </c>
      <c r="I43" s="88" t="s">
        <v>930</v>
      </c>
      <c r="J43" s="283">
        <v>37.800000000000004</v>
      </c>
      <c r="K43" s="284">
        <f t="shared" si="0"/>
        <v>1.0267365704887732</v>
      </c>
      <c r="L43" s="285">
        <f>$L$3</f>
        <v>2.6736570488773183E-2</v>
      </c>
      <c r="M43" s="283">
        <f t="shared" si="3"/>
        <v>38.810642364475633</v>
      </c>
      <c r="N43" s="283" t="s">
        <v>955</v>
      </c>
      <c r="O43" s="253">
        <f t="shared" si="4"/>
        <v>38.810642364475633</v>
      </c>
      <c r="P43" s="283" t="s">
        <v>918</v>
      </c>
      <c r="Q43" s="283">
        <f t="shared" si="5"/>
        <v>45.796557990081247</v>
      </c>
      <c r="R43" s="283">
        <f t="shared" si="6"/>
        <v>48.901409379239297</v>
      </c>
      <c r="S43" s="33"/>
      <c r="T43" s="33"/>
    </row>
    <row r="44" spans="2:21" ht="25.5" customHeight="1" x14ac:dyDescent="0.25">
      <c r="B44" s="34">
        <v>37</v>
      </c>
      <c r="C44" s="86">
        <v>98.2</v>
      </c>
      <c r="D44" s="82" t="s">
        <v>981</v>
      </c>
      <c r="E44" s="88" t="s">
        <v>982</v>
      </c>
      <c r="F44" s="41"/>
      <c r="G44" s="41"/>
      <c r="H44" s="41" t="s">
        <v>924</v>
      </c>
      <c r="I44" s="88" t="s">
        <v>930</v>
      </c>
      <c r="J44" s="283">
        <v>85</v>
      </c>
      <c r="K44" s="284">
        <f t="shared" si="0"/>
        <v>1.0274373102440122</v>
      </c>
      <c r="L44" s="285">
        <f>$V$9</f>
        <v>2.7437310244012116E-2</v>
      </c>
      <c r="M44" s="283">
        <f t="shared" si="3"/>
        <v>87.332171370741037</v>
      </c>
      <c r="N44" s="283" t="s">
        <v>925</v>
      </c>
      <c r="O44" s="253">
        <f t="shared" si="4"/>
        <v>87.332171370741037</v>
      </c>
      <c r="P44" s="283" t="s">
        <v>918</v>
      </c>
      <c r="Q44" s="283">
        <f t="shared" si="5"/>
        <v>103.05196221747441</v>
      </c>
      <c r="R44" s="283">
        <f t="shared" si="6"/>
        <v>110.03853592713371</v>
      </c>
      <c r="S44" s="33"/>
      <c r="T44" s="33">
        <f>COUNT(#REF!)</f>
        <v>0</v>
      </c>
    </row>
    <row r="45" spans="2:21" ht="25.5" customHeight="1" x14ac:dyDescent="0.25">
      <c r="B45" s="34">
        <v>38</v>
      </c>
      <c r="C45" s="41" t="s">
        <v>983</v>
      </c>
      <c r="D45" s="82" t="s">
        <v>984</v>
      </c>
      <c r="E45" s="89" t="s">
        <v>157</v>
      </c>
      <c r="F45" s="41"/>
      <c r="G45" s="41"/>
      <c r="H45" s="41" t="s">
        <v>924</v>
      </c>
      <c r="I45" s="88" t="s">
        <v>930</v>
      </c>
      <c r="J45" s="283">
        <v>15</v>
      </c>
      <c r="K45" s="284">
        <f t="shared" si="0"/>
        <v>1.0338280647648421</v>
      </c>
      <c r="L45" s="285">
        <f>$W$8</f>
        <v>3.3828064764842132E-2</v>
      </c>
      <c r="M45" s="283">
        <f t="shared" si="3"/>
        <v>15.507420971472632</v>
      </c>
      <c r="N45" s="283" t="s">
        <v>939</v>
      </c>
      <c r="O45" s="253">
        <f t="shared" si="4"/>
        <v>15.507420971472632</v>
      </c>
      <c r="P45" s="283" t="s">
        <v>918</v>
      </c>
      <c r="Q45" s="283">
        <f t="shared" si="5"/>
        <v>18.298756746337705</v>
      </c>
      <c r="R45" s="283">
        <f t="shared" si="6"/>
        <v>19.539350424055517</v>
      </c>
      <c r="S45" s="33"/>
      <c r="T45" s="33"/>
    </row>
    <row r="46" spans="2:21" customFormat="1" ht="25.5" customHeight="1" x14ac:dyDescent="0.25">
      <c r="B46" s="34">
        <v>39</v>
      </c>
      <c r="C46" s="34" t="s">
        <v>985</v>
      </c>
      <c r="D46" s="57" t="s">
        <v>986</v>
      </c>
      <c r="E46" s="89" t="s">
        <v>157</v>
      </c>
      <c r="F46" s="299"/>
      <c r="G46" s="299"/>
      <c r="H46" s="41" t="s">
        <v>924</v>
      </c>
      <c r="I46" s="299" t="s">
        <v>930</v>
      </c>
      <c r="J46" s="283">
        <v>55</v>
      </c>
      <c r="K46" s="284">
        <f t="shared" si="0"/>
        <v>1.0338280647648421</v>
      </c>
      <c r="L46" s="285">
        <f>$W$8</f>
        <v>3.3828064764842132E-2</v>
      </c>
      <c r="M46" s="283">
        <f t="shared" si="3"/>
        <v>56.860543562066319</v>
      </c>
      <c r="N46" s="283" t="s">
        <v>925</v>
      </c>
      <c r="O46" s="253">
        <f t="shared" si="4"/>
        <v>56.860543562066319</v>
      </c>
      <c r="P46" s="283" t="s">
        <v>918</v>
      </c>
      <c r="Q46" s="283">
        <f t="shared" si="5"/>
        <v>67.095441403238254</v>
      </c>
      <c r="R46" s="283">
        <f t="shared" si="6"/>
        <v>71.644284888203558</v>
      </c>
      <c r="S46" s="259"/>
      <c r="T46" s="259">
        <f>COUNT(#REF!)</f>
        <v>0</v>
      </c>
    </row>
    <row r="47" spans="2:21" customFormat="1" ht="25.5" customHeight="1" x14ac:dyDescent="0.25">
      <c r="B47" s="34">
        <v>40</v>
      </c>
      <c r="C47" s="84" t="s">
        <v>343</v>
      </c>
      <c r="D47" s="57" t="s">
        <v>344</v>
      </c>
      <c r="E47" s="89" t="s">
        <v>157</v>
      </c>
      <c r="F47" s="299"/>
      <c r="G47" s="299"/>
      <c r="H47" s="41" t="s">
        <v>924</v>
      </c>
      <c r="I47" s="299" t="s">
        <v>930</v>
      </c>
      <c r="J47" s="283">
        <v>9</v>
      </c>
      <c r="K47" s="284">
        <f t="shared" si="0"/>
        <v>1.0338280647648421</v>
      </c>
      <c r="L47" s="285">
        <f>$W$8</f>
        <v>3.3828064764842132E-2</v>
      </c>
      <c r="M47" s="283">
        <f t="shared" si="3"/>
        <v>9.3044525828835791</v>
      </c>
      <c r="N47" s="283" t="s">
        <v>939</v>
      </c>
      <c r="O47" s="253">
        <f t="shared" si="4"/>
        <v>9.3044525828835791</v>
      </c>
      <c r="P47" s="283" t="s">
        <v>918</v>
      </c>
      <c r="Q47" s="283">
        <f t="shared" si="5"/>
        <v>10.979254047802623</v>
      </c>
      <c r="R47" s="283">
        <f t="shared" si="6"/>
        <v>11.723610254433309</v>
      </c>
      <c r="S47" s="33"/>
      <c r="T47" s="33">
        <f>COUNT(#REF!)</f>
        <v>0</v>
      </c>
    </row>
    <row r="48" spans="2:21" ht="15" customHeight="1" x14ac:dyDescent="0.25">
      <c r="B48" s="34">
        <v>41</v>
      </c>
      <c r="C48" s="41" t="s">
        <v>987</v>
      </c>
      <c r="D48" s="82" t="s">
        <v>988</v>
      </c>
      <c r="E48" s="41" t="s">
        <v>158</v>
      </c>
      <c r="F48" s="41"/>
      <c r="G48" s="41"/>
      <c r="H48" s="41" t="s">
        <v>924</v>
      </c>
      <c r="I48" s="88" t="s">
        <v>916</v>
      </c>
      <c r="J48" s="283">
        <v>27279.55</v>
      </c>
      <c r="K48" s="284">
        <f t="shared" si="0"/>
        <v>1.0657773317498953</v>
      </c>
      <c r="L48" s="285">
        <f>$L$2</f>
        <v>6.5777331749895404E-2</v>
      </c>
      <c r="M48" s="283">
        <f t="shared" si="3"/>
        <v>29073.926010337855</v>
      </c>
      <c r="N48" s="283" t="s">
        <v>989</v>
      </c>
      <c r="O48" s="253">
        <f t="shared" si="4"/>
        <v>29073.926010337855</v>
      </c>
      <c r="P48" s="283" t="s">
        <v>918</v>
      </c>
      <c r="Q48" s="283">
        <f t="shared" si="5"/>
        <v>34307.232692198668</v>
      </c>
      <c r="R48" s="283">
        <f t="shared" si="6"/>
        <v>36633.146773025699</v>
      </c>
      <c r="T48" s="259">
        <f>COUNT(#REF!)</f>
        <v>0</v>
      </c>
    </row>
    <row r="49" spans="2:20" ht="15" customHeight="1" x14ac:dyDescent="0.25">
      <c r="B49" s="34">
        <v>42</v>
      </c>
      <c r="C49" s="72">
        <v>2.1</v>
      </c>
      <c r="D49" s="82" t="s">
        <v>990</v>
      </c>
      <c r="E49" s="41" t="s">
        <v>158</v>
      </c>
      <c r="F49" s="41"/>
      <c r="G49" s="41"/>
      <c r="H49" s="41" t="s">
        <v>915</v>
      </c>
      <c r="I49" s="88" t="s">
        <v>916</v>
      </c>
      <c r="J49" s="283">
        <v>26889</v>
      </c>
      <c r="K49" s="284">
        <f t="shared" si="0"/>
        <v>1.0267365704887732</v>
      </c>
      <c r="L49" s="285">
        <f>$L$3</f>
        <v>2.6736570488773183E-2</v>
      </c>
      <c r="M49" s="283">
        <f t="shared" si="3"/>
        <v>27607.919643872621</v>
      </c>
      <c r="N49" s="283" t="s">
        <v>933</v>
      </c>
      <c r="O49" s="253">
        <f t="shared" si="4"/>
        <v>27607.919643872621</v>
      </c>
      <c r="P49" s="283" t="s">
        <v>918</v>
      </c>
      <c r="Q49" s="283">
        <f t="shared" si="5"/>
        <v>32577.345179769691</v>
      </c>
      <c r="R49" s="283">
        <f t="shared" si="6"/>
        <v>34785.978751279501</v>
      </c>
      <c r="S49" s="33">
        <v>26889</v>
      </c>
      <c r="T49" s="33"/>
    </row>
    <row r="50" spans="2:20" ht="15" customHeight="1" x14ac:dyDescent="0.25">
      <c r="B50" s="34">
        <v>43</v>
      </c>
      <c r="C50" s="72">
        <v>3.1</v>
      </c>
      <c r="D50" s="251" t="s">
        <v>991</v>
      </c>
      <c r="E50" s="41" t="s">
        <v>158</v>
      </c>
      <c r="F50" s="41"/>
      <c r="G50" s="41"/>
      <c r="H50" s="41" t="s">
        <v>915</v>
      </c>
      <c r="I50" s="88" t="s">
        <v>916</v>
      </c>
      <c r="J50" s="283">
        <v>21520</v>
      </c>
      <c r="K50" s="284">
        <f t="shared" si="0"/>
        <v>1.0657773317498953</v>
      </c>
      <c r="L50" s="285">
        <f>$L$2</f>
        <v>6.5777331749895404E-2</v>
      </c>
      <c r="M50" s="283">
        <f t="shared" si="3"/>
        <v>22935.528179257748</v>
      </c>
      <c r="N50" s="283" t="s">
        <v>936</v>
      </c>
      <c r="O50" s="253">
        <f t="shared" si="4"/>
        <v>22935.528179257748</v>
      </c>
      <c r="P50" s="283" t="s">
        <v>918</v>
      </c>
      <c r="Q50" s="283">
        <f t="shared" si="5"/>
        <v>27063.923251524142</v>
      </c>
      <c r="R50" s="283">
        <f t="shared" si="6"/>
        <v>28898.765505864762</v>
      </c>
      <c r="S50" s="33"/>
      <c r="T50" s="33"/>
    </row>
    <row r="51" spans="2:20" ht="15" customHeight="1" x14ac:dyDescent="0.25">
      <c r="B51" s="34">
        <v>44</v>
      </c>
      <c r="C51" s="41" t="s">
        <v>418</v>
      </c>
      <c r="D51" s="251" t="s">
        <v>240</v>
      </c>
      <c r="E51" s="41" t="s">
        <v>158</v>
      </c>
      <c r="F51" s="41"/>
      <c r="G51" s="41"/>
      <c r="H51" s="41" t="s">
        <v>924</v>
      </c>
      <c r="I51" s="88" t="s">
        <v>916</v>
      </c>
      <c r="J51" s="283">
        <v>15887.75</v>
      </c>
      <c r="K51" s="284">
        <f t="shared" si="0"/>
        <v>1.0657773317498953</v>
      </c>
      <c r="L51" s="285">
        <f>$L$2</f>
        <v>6.5777331749895404E-2</v>
      </c>
      <c r="M51" s="283">
        <f t="shared" si="3"/>
        <v>16932.803802509399</v>
      </c>
      <c r="N51" s="283" t="s">
        <v>989</v>
      </c>
      <c r="O51" s="253">
        <f t="shared" si="4"/>
        <v>16932.803802509399</v>
      </c>
      <c r="P51" s="283" t="s">
        <v>918</v>
      </c>
      <c r="Q51" s="283">
        <f t="shared" si="5"/>
        <v>19980.708486961092</v>
      </c>
      <c r="R51" s="283">
        <f t="shared" si="6"/>
        <v>21335.332791161843</v>
      </c>
      <c r="T51" s="259">
        <f>COUNT(#REF!)</f>
        <v>0</v>
      </c>
    </row>
    <row r="52" spans="2:20" ht="15" customHeight="1" x14ac:dyDescent="0.25">
      <c r="B52" s="34">
        <v>45</v>
      </c>
      <c r="C52" s="72">
        <v>4.0999999999999996</v>
      </c>
      <c r="D52" s="251" t="s">
        <v>992</v>
      </c>
      <c r="E52" s="41" t="s">
        <v>158</v>
      </c>
      <c r="F52" s="41"/>
      <c r="G52" s="41"/>
      <c r="H52" s="41" t="s">
        <v>915</v>
      </c>
      <c r="I52" s="88" t="s">
        <v>916</v>
      </c>
      <c r="J52" s="283">
        <v>15767.62</v>
      </c>
      <c r="K52" s="284">
        <f t="shared" si="0"/>
        <v>1.0267365704887732</v>
      </c>
      <c r="L52" s="285">
        <f>$L$3</f>
        <v>2.6736570488773183E-2</v>
      </c>
      <c r="M52" s="283">
        <f t="shared" si="3"/>
        <v>16189.192083570191</v>
      </c>
      <c r="N52" s="283" t="s">
        <v>933</v>
      </c>
      <c r="O52" s="253">
        <f t="shared" si="4"/>
        <v>16189.192083570191</v>
      </c>
      <c r="P52" s="283" t="s">
        <v>918</v>
      </c>
      <c r="Q52" s="283">
        <f t="shared" si="5"/>
        <v>19103.246658612825</v>
      </c>
      <c r="R52" s="283">
        <f t="shared" si="6"/>
        <v>20398.382025298441</v>
      </c>
      <c r="S52" s="33"/>
      <c r="T52" s="33"/>
    </row>
    <row r="53" spans="2:20" ht="15" customHeight="1" x14ac:dyDescent="0.25">
      <c r="B53" s="34">
        <v>46</v>
      </c>
      <c r="C53" s="72">
        <v>5.0999999999999996</v>
      </c>
      <c r="D53" s="251" t="s">
        <v>993</v>
      </c>
      <c r="E53" s="41" t="s">
        <v>158</v>
      </c>
      <c r="F53" s="41"/>
      <c r="G53" s="41"/>
      <c r="H53" s="41" t="s">
        <v>915</v>
      </c>
      <c r="I53" s="88" t="s">
        <v>916</v>
      </c>
      <c r="J53" s="283">
        <v>12203.4</v>
      </c>
      <c r="K53" s="284">
        <f t="shared" si="0"/>
        <v>1.0657773317498953</v>
      </c>
      <c r="L53" s="285">
        <f>$L$2</f>
        <v>6.5777331749895404E-2</v>
      </c>
      <c r="M53" s="283">
        <f t="shared" si="3"/>
        <v>13006.107090276671</v>
      </c>
      <c r="N53" s="283" t="s">
        <v>936</v>
      </c>
      <c r="O53" s="253">
        <f t="shared" si="4"/>
        <v>13006.107090276671</v>
      </c>
      <c r="P53" s="283" t="s">
        <v>918</v>
      </c>
      <c r="Q53" s="283">
        <f t="shared" si="5"/>
        <v>15347.206366526472</v>
      </c>
      <c r="R53" s="283">
        <f t="shared" si="6"/>
        <v>16387.694933748608</v>
      </c>
      <c r="S53" s="33"/>
      <c r="T53" s="33"/>
    </row>
    <row r="54" spans="2:20" ht="15" customHeight="1" x14ac:dyDescent="0.25">
      <c r="B54" s="34">
        <v>47</v>
      </c>
      <c r="C54" s="72">
        <v>6.1</v>
      </c>
      <c r="D54" s="251" t="s">
        <v>994</v>
      </c>
      <c r="E54" s="41" t="s">
        <v>158</v>
      </c>
      <c r="F54" s="41"/>
      <c r="G54" s="41"/>
      <c r="H54" s="41" t="s">
        <v>915</v>
      </c>
      <c r="I54" s="88" t="s">
        <v>916</v>
      </c>
      <c r="J54" s="283">
        <v>9778.4</v>
      </c>
      <c r="K54" s="284">
        <f t="shared" si="0"/>
        <v>1.0267365704887732</v>
      </c>
      <c r="L54" s="285">
        <f>$L$3</f>
        <v>2.6736570488773183E-2</v>
      </c>
      <c r="M54" s="283">
        <f t="shared" si="3"/>
        <v>10039.840880867419</v>
      </c>
      <c r="N54" s="283" t="s">
        <v>933</v>
      </c>
      <c r="O54" s="253">
        <f t="shared" si="4"/>
        <v>10039.840880867419</v>
      </c>
      <c r="P54" s="283" t="s">
        <v>918</v>
      </c>
      <c r="Q54" s="283">
        <f t="shared" si="5"/>
        <v>11847.012239423555</v>
      </c>
      <c r="R54" s="283">
        <f t="shared" si="6"/>
        <v>12650.199509892949</v>
      </c>
      <c r="S54" s="33">
        <v>9235.49</v>
      </c>
      <c r="T54" s="33"/>
    </row>
    <row r="55" spans="2:20" ht="15" customHeight="1" x14ac:dyDescent="0.25">
      <c r="B55" s="34">
        <v>48</v>
      </c>
      <c r="C55" s="88">
        <v>103.1</v>
      </c>
      <c r="D55" s="82" t="s">
        <v>995</v>
      </c>
      <c r="E55" s="88" t="s">
        <v>158</v>
      </c>
      <c r="F55" s="41"/>
      <c r="G55" s="41"/>
      <c r="H55" s="41" t="s">
        <v>915</v>
      </c>
      <c r="I55" s="88" t="s">
        <v>930</v>
      </c>
      <c r="J55" s="283">
        <v>12487.5</v>
      </c>
      <c r="K55" s="284">
        <f t="shared" si="0"/>
        <v>1.0267365704887732</v>
      </c>
      <c r="L55" s="285">
        <f>$L$3</f>
        <v>2.6736570488773183E-2</v>
      </c>
      <c r="M55" s="283">
        <f t="shared" si="3"/>
        <v>12821.372923978555</v>
      </c>
      <c r="N55" s="283" t="s">
        <v>961</v>
      </c>
      <c r="O55" s="253">
        <f t="shared" si="4"/>
        <v>12821.372923978555</v>
      </c>
      <c r="P55" s="283" t="s">
        <v>918</v>
      </c>
      <c r="Q55" s="283">
        <f t="shared" si="5"/>
        <v>15129.220050294694</v>
      </c>
      <c r="R55" s="283">
        <f t="shared" si="6"/>
        <v>16154.929884212979</v>
      </c>
      <c r="S55" s="33"/>
      <c r="T55" s="33"/>
    </row>
    <row r="56" spans="2:20" ht="15" customHeight="1" x14ac:dyDescent="0.25">
      <c r="B56" s="34">
        <v>49</v>
      </c>
      <c r="C56" s="41">
        <v>104.1</v>
      </c>
      <c r="D56" s="82" t="s">
        <v>996</v>
      </c>
      <c r="E56" s="41" t="s">
        <v>158</v>
      </c>
      <c r="F56" s="41"/>
      <c r="G56" s="41"/>
      <c r="H56" s="41" t="s">
        <v>915</v>
      </c>
      <c r="I56" s="88" t="s">
        <v>930</v>
      </c>
      <c r="J56" s="283">
        <v>1880</v>
      </c>
      <c r="K56" s="284">
        <f t="shared" si="0"/>
        <v>1.0657773317498953</v>
      </c>
      <c r="L56" s="285">
        <f>$L$2</f>
        <v>6.5777331749895404E-2</v>
      </c>
      <c r="M56" s="283">
        <f t="shared" si="3"/>
        <v>2003.6613836898032</v>
      </c>
      <c r="N56" s="283" t="s">
        <v>955</v>
      </c>
      <c r="O56" s="253">
        <f t="shared" si="4"/>
        <v>2003.6613836898032</v>
      </c>
      <c r="P56" s="283" t="s">
        <v>918</v>
      </c>
      <c r="Q56" s="283">
        <f t="shared" si="5"/>
        <v>2364.3204327539675</v>
      </c>
      <c r="R56" s="283">
        <f t="shared" si="6"/>
        <v>2524.6133434491521</v>
      </c>
      <c r="S56" s="33"/>
      <c r="T56" s="33"/>
    </row>
    <row r="57" spans="2:20" ht="15" customHeight="1" x14ac:dyDescent="0.25">
      <c r="B57" s="34">
        <v>50</v>
      </c>
      <c r="C57" s="72">
        <v>169.1</v>
      </c>
      <c r="D57" s="82" t="s">
        <v>997</v>
      </c>
      <c r="E57" s="41" t="s">
        <v>158</v>
      </c>
      <c r="F57" s="41"/>
      <c r="G57" s="41"/>
      <c r="H57" s="41" t="s">
        <v>915</v>
      </c>
      <c r="I57" s="88" t="s">
        <v>930</v>
      </c>
      <c r="J57" s="283">
        <v>760.75</v>
      </c>
      <c r="K57" s="284">
        <f t="shared" si="0"/>
        <v>1.0126343788097087</v>
      </c>
      <c r="L57" s="285">
        <f>$V$8</f>
        <v>1.2634378809708687E-2</v>
      </c>
      <c r="M57" s="283">
        <f t="shared" si="3"/>
        <v>770.36160367948594</v>
      </c>
      <c r="N57" s="283" t="s">
        <v>961</v>
      </c>
      <c r="O57" s="253">
        <f t="shared" si="4"/>
        <v>770.36160367948594</v>
      </c>
      <c r="P57" s="283" t="s">
        <v>918</v>
      </c>
      <c r="Q57" s="283">
        <f t="shared" si="5"/>
        <v>909.02669234179336</v>
      </c>
      <c r="R57" s="283">
        <f t="shared" si="6"/>
        <v>970.65562063615232</v>
      </c>
      <c r="S57" s="325">
        <v>1362</v>
      </c>
      <c r="T57" s="33"/>
    </row>
    <row r="58" spans="2:20" ht="15" customHeight="1" x14ac:dyDescent="0.25">
      <c r="B58" s="34">
        <v>51</v>
      </c>
      <c r="C58" s="41">
        <v>170.1</v>
      </c>
      <c r="D58" s="82" t="s">
        <v>998</v>
      </c>
      <c r="E58" s="41" t="s">
        <v>158</v>
      </c>
      <c r="F58" s="41"/>
      <c r="G58" s="41"/>
      <c r="H58" s="41" t="s">
        <v>915</v>
      </c>
      <c r="I58" s="88" t="s">
        <v>930</v>
      </c>
      <c r="J58" s="283">
        <v>643.25</v>
      </c>
      <c r="K58" s="284">
        <f t="shared" si="0"/>
        <v>1.0126343788097087</v>
      </c>
      <c r="L58" s="285">
        <f>$V$8</f>
        <v>1.2634378809708687E-2</v>
      </c>
      <c r="M58" s="283">
        <f t="shared" si="3"/>
        <v>651.3770641693452</v>
      </c>
      <c r="N58" s="283" t="s">
        <v>961</v>
      </c>
      <c r="O58" s="253">
        <f t="shared" si="4"/>
        <v>651.3770641693452</v>
      </c>
      <c r="P58" s="283" t="s">
        <v>918</v>
      </c>
      <c r="Q58" s="283">
        <f t="shared" si="5"/>
        <v>768.62493571982725</v>
      </c>
      <c r="R58" s="283">
        <f t="shared" si="6"/>
        <v>820.735100853375</v>
      </c>
      <c r="S58" s="325">
        <v>1089.5999999999999</v>
      </c>
      <c r="T58" s="33"/>
    </row>
    <row r="59" spans="2:20" ht="15" customHeight="1" x14ac:dyDescent="0.25">
      <c r="B59" s="34">
        <v>52</v>
      </c>
      <c r="C59" s="72">
        <v>172.1</v>
      </c>
      <c r="D59" s="82" t="s">
        <v>487</v>
      </c>
      <c r="E59" s="41" t="s">
        <v>158</v>
      </c>
      <c r="F59" s="41"/>
      <c r="G59" s="41"/>
      <c r="H59" s="41" t="s">
        <v>915</v>
      </c>
      <c r="I59" s="88" t="s">
        <v>930</v>
      </c>
      <c r="J59" s="283">
        <v>592</v>
      </c>
      <c r="K59" s="284">
        <f t="shared" si="0"/>
        <v>1.0126343788097087</v>
      </c>
      <c r="L59" s="285">
        <f>$V$8</f>
        <v>1.2634378809708687E-2</v>
      </c>
      <c r="M59" s="283">
        <f t="shared" si="3"/>
        <v>599.47955225534758</v>
      </c>
      <c r="N59" s="283" t="s">
        <v>955</v>
      </c>
      <c r="O59" s="253">
        <f t="shared" si="4"/>
        <v>599.47955225534758</v>
      </c>
      <c r="P59" s="283" t="s">
        <v>918</v>
      </c>
      <c r="Q59" s="283">
        <f t="shared" si="5"/>
        <v>707.38587166131015</v>
      </c>
      <c r="R59" s="283">
        <f t="shared" si="6"/>
        <v>755.34423584173794</v>
      </c>
      <c r="S59" s="325">
        <v>1089.5999999999999</v>
      </c>
      <c r="T59" s="33"/>
    </row>
    <row r="60" spans="2:20" ht="15" customHeight="1" x14ac:dyDescent="0.25">
      <c r="B60" s="34">
        <v>53</v>
      </c>
      <c r="C60" s="72">
        <v>19.100000000000001</v>
      </c>
      <c r="D60" s="82" t="s">
        <v>999</v>
      </c>
      <c r="E60" s="41" t="s">
        <v>222</v>
      </c>
      <c r="F60" s="41"/>
      <c r="G60" s="41"/>
      <c r="H60" s="41" t="s">
        <v>915</v>
      </c>
      <c r="I60" s="88" t="s">
        <v>930</v>
      </c>
      <c r="J60" s="283">
        <v>72.228333333333339</v>
      </c>
      <c r="K60" s="284">
        <f t="shared" si="0"/>
        <v>1.0126343788097087</v>
      </c>
      <c r="L60" s="285">
        <f>$V$8</f>
        <v>1.2634378809708687E-2</v>
      </c>
      <c r="M60" s="283">
        <f t="shared" si="3"/>
        <v>73.140893457460592</v>
      </c>
      <c r="N60" s="283" t="s">
        <v>978</v>
      </c>
      <c r="O60" s="253">
        <f t="shared" si="4"/>
        <v>73.140893457460592</v>
      </c>
      <c r="P60" s="283" t="s">
        <v>918</v>
      </c>
      <c r="Q60" s="283">
        <f t="shared" si="5"/>
        <v>86.306254279803497</v>
      </c>
      <c r="R60" s="283">
        <f t="shared" si="6"/>
        <v>92.157525756400346</v>
      </c>
      <c r="S60" s="33"/>
      <c r="T60" s="33"/>
    </row>
    <row r="61" spans="2:20" ht="38.25" customHeight="1" x14ac:dyDescent="0.25">
      <c r="B61" s="34">
        <v>54</v>
      </c>
      <c r="C61" s="72">
        <v>78.099999999999994</v>
      </c>
      <c r="D61" s="82" t="s">
        <v>697</v>
      </c>
      <c r="E61" s="41" t="s">
        <v>158</v>
      </c>
      <c r="F61" s="41"/>
      <c r="G61" s="41"/>
      <c r="H61" s="41" t="s">
        <v>915</v>
      </c>
      <c r="I61" s="88" t="s">
        <v>930</v>
      </c>
      <c r="J61" s="283">
        <v>469</v>
      </c>
      <c r="K61" s="284">
        <f t="shared" si="0"/>
        <v>1.0126343788097087</v>
      </c>
      <c r="L61" s="285">
        <f>$V$8</f>
        <v>1.2634378809708687E-2</v>
      </c>
      <c r="M61" s="283">
        <f t="shared" si="3"/>
        <v>474.9255236617534</v>
      </c>
      <c r="N61" s="283" t="s">
        <v>1000</v>
      </c>
      <c r="O61" s="253">
        <f t="shared" si="4"/>
        <v>474.9255236617534</v>
      </c>
      <c r="P61" s="283" t="s">
        <v>918</v>
      </c>
      <c r="Q61" s="283">
        <f t="shared" si="5"/>
        <v>560.41211792086904</v>
      </c>
      <c r="R61" s="283">
        <f t="shared" si="6"/>
        <v>598.40615981380927</v>
      </c>
      <c r="S61" s="33"/>
      <c r="T61" s="33"/>
    </row>
    <row r="62" spans="2:20" ht="28.5" customHeight="1" x14ac:dyDescent="0.25">
      <c r="B62" s="34">
        <v>55</v>
      </c>
      <c r="C62" s="41" t="s">
        <v>1001</v>
      </c>
      <c r="D62" s="82" t="s">
        <v>1002</v>
      </c>
      <c r="E62" s="41" t="s">
        <v>158</v>
      </c>
      <c r="F62" s="41"/>
      <c r="G62" s="41"/>
      <c r="H62" s="41" t="s">
        <v>924</v>
      </c>
      <c r="I62" s="88" t="s">
        <v>930</v>
      </c>
      <c r="J62" s="283">
        <v>1173</v>
      </c>
      <c r="K62" s="284">
        <f>(1+L62)</f>
        <v>1</v>
      </c>
      <c r="L62" s="285">
        <v>0</v>
      </c>
      <c r="M62" s="283">
        <f>J62*K62</f>
        <v>1173</v>
      </c>
      <c r="N62" s="283" t="s">
        <v>1003</v>
      </c>
      <c r="O62" s="253">
        <f t="shared" si="4"/>
        <v>1173</v>
      </c>
      <c r="P62" s="283" t="s">
        <v>918</v>
      </c>
      <c r="Q62" s="283">
        <f t="shared" si="5"/>
        <v>1384.1399999999999</v>
      </c>
      <c r="R62" s="283">
        <f t="shared" si="6"/>
        <v>1477.98</v>
      </c>
      <c r="S62" s="33"/>
      <c r="T62" s="33"/>
    </row>
    <row r="63" spans="2:20" ht="38.25" customHeight="1" x14ac:dyDescent="0.25">
      <c r="B63" s="34">
        <v>56</v>
      </c>
      <c r="C63" s="41" t="s">
        <v>675</v>
      </c>
      <c r="D63" s="82" t="s">
        <v>676</v>
      </c>
      <c r="E63" s="41" t="s">
        <v>158</v>
      </c>
      <c r="F63" s="41"/>
      <c r="G63" s="41"/>
      <c r="H63" s="41" t="s">
        <v>924</v>
      </c>
      <c r="I63" s="88" t="s">
        <v>930</v>
      </c>
      <c r="J63" s="283">
        <v>1212</v>
      </c>
      <c r="K63" s="284">
        <f t="shared" si="0"/>
        <v>1</v>
      </c>
      <c r="L63" s="285">
        <v>0</v>
      </c>
      <c r="M63" s="283">
        <f t="shared" si="3"/>
        <v>1212</v>
      </c>
      <c r="N63" s="283" t="s">
        <v>1004</v>
      </c>
      <c r="O63" s="253">
        <f t="shared" si="4"/>
        <v>1212</v>
      </c>
      <c r="P63" s="283" t="s">
        <v>918</v>
      </c>
      <c r="Q63" s="283">
        <f t="shared" si="5"/>
        <v>1430.1599999999999</v>
      </c>
      <c r="R63" s="283">
        <f t="shared" si="6"/>
        <v>1527.1200000000001</v>
      </c>
      <c r="S63" s="33"/>
      <c r="T63" s="33"/>
    </row>
    <row r="64" spans="2:20" customFormat="1" ht="25.5" customHeight="1" x14ac:dyDescent="0.25">
      <c r="B64" s="34">
        <v>57</v>
      </c>
      <c r="C64" s="84">
        <v>163.19999999999999</v>
      </c>
      <c r="D64" s="57" t="s">
        <v>1005</v>
      </c>
      <c r="E64" s="89" t="s">
        <v>157</v>
      </c>
      <c r="F64" s="299"/>
      <c r="G64" s="299"/>
      <c r="H64" s="41" t="s">
        <v>924</v>
      </c>
      <c r="I64" s="299" t="s">
        <v>930</v>
      </c>
      <c r="J64" s="283">
        <v>804</v>
      </c>
      <c r="K64" s="284">
        <f t="shared" si="0"/>
        <v>1.0126343788097087</v>
      </c>
      <c r="L64" s="285">
        <f>$V$8</f>
        <v>1.2634378809708687E-2</v>
      </c>
      <c r="M64" s="283">
        <f t="shared" si="3"/>
        <v>814.15804056300578</v>
      </c>
      <c r="N64" s="283" t="s">
        <v>925</v>
      </c>
      <c r="O64" s="253">
        <f t="shared" si="4"/>
        <v>814.15804056300578</v>
      </c>
      <c r="P64" s="283" t="s">
        <v>918</v>
      </c>
      <c r="Q64" s="283">
        <f t="shared" si="5"/>
        <v>960.70648786434674</v>
      </c>
      <c r="R64" s="283">
        <f t="shared" si="6"/>
        <v>1025.8391311093874</v>
      </c>
    </row>
    <row r="65" spans="2:20" ht="15" customHeight="1" x14ac:dyDescent="0.25">
      <c r="B65" s="34">
        <v>58</v>
      </c>
      <c r="C65" s="72">
        <v>163.1</v>
      </c>
      <c r="D65" s="82" t="s">
        <v>1006</v>
      </c>
      <c r="E65" s="41" t="s">
        <v>157</v>
      </c>
      <c r="F65" s="41"/>
      <c r="G65" s="41"/>
      <c r="H65" s="41" t="s">
        <v>915</v>
      </c>
      <c r="I65" s="88" t="s">
        <v>930</v>
      </c>
      <c r="J65" s="283">
        <v>442.2</v>
      </c>
      <c r="K65" s="284">
        <f t="shared" si="0"/>
        <v>1.0126343788097087</v>
      </c>
      <c r="L65" s="285">
        <f>$V$8</f>
        <v>1.2634378809708687E-2</v>
      </c>
      <c r="M65" s="283">
        <f t="shared" si="3"/>
        <v>447.78692230965322</v>
      </c>
      <c r="N65" s="283" t="s">
        <v>955</v>
      </c>
      <c r="O65" s="253">
        <f t="shared" si="4"/>
        <v>447.78692230965322</v>
      </c>
      <c r="P65" s="283" t="s">
        <v>918</v>
      </c>
      <c r="Q65" s="283">
        <f t="shared" si="5"/>
        <v>528.38856832539079</v>
      </c>
      <c r="R65" s="283">
        <f t="shared" si="6"/>
        <v>564.21152211016306</v>
      </c>
      <c r="S65" s="33"/>
      <c r="T65" s="33"/>
    </row>
    <row r="66" spans="2:20" ht="38.25" customHeight="1" x14ac:dyDescent="0.25">
      <c r="B66" s="34">
        <v>59</v>
      </c>
      <c r="C66" s="41" t="s">
        <v>426</v>
      </c>
      <c r="D66" s="82" t="s">
        <v>677</v>
      </c>
      <c r="E66" s="41" t="s">
        <v>158</v>
      </c>
      <c r="F66" s="41"/>
      <c r="G66" s="41"/>
      <c r="H66" s="41" t="s">
        <v>924</v>
      </c>
      <c r="I66" s="88" t="s">
        <v>930</v>
      </c>
      <c r="J66" s="283">
        <v>1080</v>
      </c>
      <c r="K66" s="284">
        <f t="shared" si="0"/>
        <v>1</v>
      </c>
      <c r="L66" s="285">
        <v>0</v>
      </c>
      <c r="M66" s="283">
        <f t="shared" si="3"/>
        <v>1080</v>
      </c>
      <c r="N66" s="283" t="s">
        <v>1004</v>
      </c>
      <c r="O66" s="253">
        <f t="shared" si="4"/>
        <v>1080</v>
      </c>
      <c r="P66" s="283" t="s">
        <v>918</v>
      </c>
      <c r="Q66" s="283">
        <f t="shared" si="5"/>
        <v>1274.3999999999999</v>
      </c>
      <c r="R66" s="283">
        <f t="shared" si="6"/>
        <v>1360.8</v>
      </c>
      <c r="S66" s="33"/>
      <c r="T66" s="33"/>
    </row>
    <row r="67" spans="2:20" ht="25.5" customHeight="1" x14ac:dyDescent="0.25">
      <c r="B67" s="34">
        <v>60</v>
      </c>
      <c r="C67" s="41" t="s">
        <v>1007</v>
      </c>
      <c r="D67" s="82" t="s">
        <v>1008</v>
      </c>
      <c r="E67" s="41" t="s">
        <v>157</v>
      </c>
      <c r="F67" s="41"/>
      <c r="G67" s="41"/>
      <c r="H67" s="41" t="s">
        <v>924</v>
      </c>
      <c r="I67" s="88" t="s">
        <v>930</v>
      </c>
      <c r="J67" s="283">
        <v>371</v>
      </c>
      <c r="K67" s="284">
        <f t="shared" si="0"/>
        <v>1</v>
      </c>
      <c r="L67" s="285">
        <v>0</v>
      </c>
      <c r="M67" s="283">
        <f t="shared" si="3"/>
        <v>371</v>
      </c>
      <c r="N67" s="283" t="s">
        <v>939</v>
      </c>
      <c r="O67" s="253">
        <f t="shared" si="4"/>
        <v>371</v>
      </c>
      <c r="P67" s="283" t="s">
        <v>918</v>
      </c>
      <c r="Q67" s="283">
        <f t="shared" si="5"/>
        <v>437.78</v>
      </c>
      <c r="R67" s="283">
        <f t="shared" si="6"/>
        <v>467.46</v>
      </c>
      <c r="S67" s="33"/>
      <c r="T67" s="33">
        <f>COUNT(#REF!)</f>
        <v>0</v>
      </c>
    </row>
    <row r="68" spans="2:20" customFormat="1" ht="15" customHeight="1" x14ac:dyDescent="0.25">
      <c r="B68" s="34">
        <v>61</v>
      </c>
      <c r="C68" s="84" t="s">
        <v>242</v>
      </c>
      <c r="D68" s="57" t="s">
        <v>1009</v>
      </c>
      <c r="E68" s="89" t="s">
        <v>157</v>
      </c>
      <c r="F68" s="88"/>
      <c r="G68" s="88"/>
      <c r="H68" s="41" t="s">
        <v>924</v>
      </c>
      <c r="I68" s="299" t="s">
        <v>916</v>
      </c>
      <c r="J68" s="283">
        <v>180</v>
      </c>
      <c r="K68" s="284">
        <f t="shared" si="0"/>
        <v>1</v>
      </c>
      <c r="L68" s="285">
        <v>0</v>
      </c>
      <c r="M68" s="283">
        <f t="shared" si="3"/>
        <v>180</v>
      </c>
      <c r="N68" s="89" t="s">
        <v>1010</v>
      </c>
      <c r="O68" s="253">
        <f t="shared" si="4"/>
        <v>180</v>
      </c>
      <c r="P68" s="283" t="s">
        <v>918</v>
      </c>
      <c r="Q68" s="283">
        <f t="shared" si="5"/>
        <v>212.39999999999998</v>
      </c>
      <c r="R68" s="283">
        <f t="shared" si="6"/>
        <v>226.8</v>
      </c>
      <c r="S68" s="33"/>
    </row>
    <row r="69" spans="2:20" ht="15" customHeight="1" x14ac:dyDescent="0.25">
      <c r="B69" s="34">
        <v>62</v>
      </c>
      <c r="C69" s="72">
        <v>123.1</v>
      </c>
      <c r="D69" s="82" t="s">
        <v>1011</v>
      </c>
      <c r="E69" s="41" t="s">
        <v>157</v>
      </c>
      <c r="F69" s="41"/>
      <c r="G69" s="41"/>
      <c r="H69" s="41" t="s">
        <v>915</v>
      </c>
      <c r="I69" s="88" t="s">
        <v>930</v>
      </c>
      <c r="J69" s="283">
        <v>38.75</v>
      </c>
      <c r="K69" s="284">
        <f t="shared" si="0"/>
        <v>1.0126343788097087</v>
      </c>
      <c r="L69" s="285">
        <f>$V$8</f>
        <v>1.2634378809708687E-2</v>
      </c>
      <c r="M69" s="283">
        <f t="shared" si="3"/>
        <v>39.239582178876212</v>
      </c>
      <c r="N69" s="283" t="s">
        <v>961</v>
      </c>
      <c r="O69" s="253">
        <f t="shared" si="4"/>
        <v>39.239582178876212</v>
      </c>
      <c r="P69" s="283" t="s">
        <v>918</v>
      </c>
      <c r="Q69" s="283">
        <f t="shared" si="5"/>
        <v>46.302706971073931</v>
      </c>
      <c r="R69" s="283">
        <f t="shared" si="6"/>
        <v>49.441873545384027</v>
      </c>
      <c r="S69" s="33"/>
      <c r="T69" s="33"/>
    </row>
    <row r="70" spans="2:20" customFormat="1" ht="25.5" customHeight="1" x14ac:dyDescent="0.25">
      <c r="B70" s="34">
        <v>63</v>
      </c>
      <c r="C70" s="41" t="s">
        <v>432</v>
      </c>
      <c r="D70" s="251" t="s">
        <v>1012</v>
      </c>
      <c r="E70" s="41" t="s">
        <v>157</v>
      </c>
      <c r="F70" s="34"/>
      <c r="G70" s="34"/>
      <c r="H70" s="41" t="s">
        <v>924</v>
      </c>
      <c r="I70" s="252" t="s">
        <v>930</v>
      </c>
      <c r="J70" s="283">
        <v>500</v>
      </c>
      <c r="K70" s="284">
        <f t="shared" si="0"/>
        <v>1</v>
      </c>
      <c r="L70" s="285">
        <v>0</v>
      </c>
      <c r="M70" s="283">
        <f t="shared" si="3"/>
        <v>500</v>
      </c>
      <c r="N70" s="283" t="s">
        <v>925</v>
      </c>
      <c r="O70" s="253">
        <f t="shared" si="4"/>
        <v>500</v>
      </c>
      <c r="P70" s="283" t="s">
        <v>918</v>
      </c>
      <c r="Q70" s="283">
        <f t="shared" si="5"/>
        <v>590</v>
      </c>
      <c r="R70" s="283">
        <f t="shared" si="6"/>
        <v>630</v>
      </c>
      <c r="S70" s="33"/>
      <c r="T70" s="33">
        <f>COUNT(#REF!)</f>
        <v>0</v>
      </c>
    </row>
    <row r="71" spans="2:20" ht="25.5" customHeight="1" x14ac:dyDescent="0.25">
      <c r="B71" s="34">
        <v>64</v>
      </c>
      <c r="C71" s="72">
        <v>133.1</v>
      </c>
      <c r="D71" s="251" t="s">
        <v>1013</v>
      </c>
      <c r="E71" s="41" t="s">
        <v>157</v>
      </c>
      <c r="F71" s="41"/>
      <c r="G71" s="41"/>
      <c r="H71" s="41" t="s">
        <v>915</v>
      </c>
      <c r="I71" s="88" t="s">
        <v>930</v>
      </c>
      <c r="J71" s="283">
        <v>60</v>
      </c>
      <c r="K71" s="284">
        <f t="shared" si="0"/>
        <v>1.0126343788097087</v>
      </c>
      <c r="L71" s="285">
        <f>$V$8</f>
        <v>1.2634378809708687E-2</v>
      </c>
      <c r="M71" s="283">
        <f t="shared" si="3"/>
        <v>60.758062728582523</v>
      </c>
      <c r="N71" s="283" t="s">
        <v>1014</v>
      </c>
      <c r="O71" s="253">
        <f t="shared" si="4"/>
        <v>60.758062728582523</v>
      </c>
      <c r="P71" s="283" t="s">
        <v>918</v>
      </c>
      <c r="Q71" s="283">
        <f t="shared" si="5"/>
        <v>71.694514019727379</v>
      </c>
      <c r="R71" s="283">
        <f t="shared" si="6"/>
        <v>76.555159038013983</v>
      </c>
      <c r="S71" s="33"/>
      <c r="T71" s="33"/>
    </row>
    <row r="72" spans="2:20" ht="51" customHeight="1" x14ac:dyDescent="0.25">
      <c r="B72" s="34">
        <v>65</v>
      </c>
      <c r="C72" s="86">
        <v>178.2</v>
      </c>
      <c r="D72" s="82" t="s">
        <v>1015</v>
      </c>
      <c r="E72" s="88" t="s">
        <v>158</v>
      </c>
      <c r="F72" s="88">
        <v>549</v>
      </c>
      <c r="G72" s="88"/>
      <c r="H72" s="41" t="s">
        <v>924</v>
      </c>
      <c r="I72" s="88" t="s">
        <v>930</v>
      </c>
      <c r="J72" s="283">
        <v>24265.800000000003</v>
      </c>
      <c r="K72" s="284">
        <f>(1+L72)</f>
        <v>1.0126343788097087</v>
      </c>
      <c r="L72" s="285">
        <f>$V$8</f>
        <v>1.2634378809708687E-2</v>
      </c>
      <c r="M72" s="283">
        <f>J72*K72</f>
        <v>24572.383309320634</v>
      </c>
      <c r="N72" s="283" t="s">
        <v>1016</v>
      </c>
      <c r="O72" s="253">
        <f t="shared" ref="O72:O135" si="7">M72</f>
        <v>24572.383309320634</v>
      </c>
      <c r="P72" s="283" t="s">
        <v>918</v>
      </c>
      <c r="Q72" s="283">
        <f t="shared" ref="Q72:Q102" si="8">M72*1.18</f>
        <v>28995.412304998346</v>
      </c>
      <c r="R72" s="283">
        <f t="shared" ref="R72:R102" si="9">M72*1.26</f>
        <v>30961.202969743998</v>
      </c>
      <c r="S72" s="33"/>
      <c r="T72" s="33">
        <f>COUNT(#REF!)</f>
        <v>0</v>
      </c>
    </row>
    <row r="73" spans="2:20" ht="15" customHeight="1" x14ac:dyDescent="0.25">
      <c r="B73" s="34">
        <v>66</v>
      </c>
      <c r="C73" s="41" t="s">
        <v>435</v>
      </c>
      <c r="D73" s="82" t="s">
        <v>436</v>
      </c>
      <c r="E73" s="88" t="s">
        <v>158</v>
      </c>
      <c r="F73" s="88">
        <v>549</v>
      </c>
      <c r="G73" s="88">
        <v>65.400000000000006</v>
      </c>
      <c r="H73" s="41" t="s">
        <v>924</v>
      </c>
      <c r="I73" s="88" t="s">
        <v>930</v>
      </c>
      <c r="J73" s="283">
        <v>35904.6</v>
      </c>
      <c r="K73" s="284">
        <f t="shared" ref="K73:K136" si="10">(1+L73)</f>
        <v>1</v>
      </c>
      <c r="L73" s="285">
        <v>0</v>
      </c>
      <c r="M73" s="283">
        <f t="shared" si="3"/>
        <v>35904.6</v>
      </c>
      <c r="N73" s="283" t="s">
        <v>1017</v>
      </c>
      <c r="O73" s="253">
        <f t="shared" si="7"/>
        <v>35904.6</v>
      </c>
      <c r="P73" s="283" t="s">
        <v>918</v>
      </c>
      <c r="Q73" s="283">
        <f t="shared" si="8"/>
        <v>42367.427999999993</v>
      </c>
      <c r="R73" s="283">
        <f t="shared" si="9"/>
        <v>45239.796000000002</v>
      </c>
      <c r="S73" s="33"/>
      <c r="T73" s="33"/>
    </row>
    <row r="74" spans="2:20" ht="15" customHeight="1" x14ac:dyDescent="0.25">
      <c r="B74" s="34">
        <v>67</v>
      </c>
      <c r="C74" s="86">
        <v>179.1</v>
      </c>
      <c r="D74" s="82" t="s">
        <v>1018</v>
      </c>
      <c r="E74" s="88" t="s">
        <v>158</v>
      </c>
      <c r="F74" s="88">
        <v>264</v>
      </c>
      <c r="G74" s="88"/>
      <c r="H74" s="41" t="s">
        <v>915</v>
      </c>
      <c r="I74" s="88" t="s">
        <v>930</v>
      </c>
      <c r="J74" s="283">
        <v>13086.25</v>
      </c>
      <c r="K74" s="284">
        <f t="shared" si="10"/>
        <v>1.0126343788097087</v>
      </c>
      <c r="L74" s="285">
        <f>$V$8</f>
        <v>1.2634378809708687E-2</v>
      </c>
      <c r="M74" s="283">
        <f t="shared" si="3"/>
        <v>13251.586639698551</v>
      </c>
      <c r="N74" s="283" t="s">
        <v>961</v>
      </c>
      <c r="O74" s="253">
        <f t="shared" si="7"/>
        <v>13251.586639698551</v>
      </c>
      <c r="P74" s="283" t="s">
        <v>918</v>
      </c>
      <c r="Q74" s="283">
        <f t="shared" si="8"/>
        <v>15636.87223484429</v>
      </c>
      <c r="R74" s="283">
        <f t="shared" si="9"/>
        <v>16696.999166020174</v>
      </c>
      <c r="S74" s="33"/>
      <c r="T74" s="33"/>
    </row>
    <row r="75" spans="2:20" ht="15" customHeight="1" x14ac:dyDescent="0.25">
      <c r="B75" s="34">
        <v>68</v>
      </c>
      <c r="C75" s="41" t="s">
        <v>437</v>
      </c>
      <c r="D75" s="82" t="s">
        <v>438</v>
      </c>
      <c r="E75" s="88" t="s">
        <v>158</v>
      </c>
      <c r="F75" s="88">
        <v>264</v>
      </c>
      <c r="G75" s="88">
        <v>65.400000000000006</v>
      </c>
      <c r="H75" s="41" t="s">
        <v>924</v>
      </c>
      <c r="I75" s="88" t="s">
        <v>930</v>
      </c>
      <c r="J75" s="283">
        <v>17265.599999999999</v>
      </c>
      <c r="K75" s="284">
        <f t="shared" si="10"/>
        <v>1</v>
      </c>
      <c r="L75" s="285">
        <v>0</v>
      </c>
      <c r="M75" s="283">
        <f t="shared" si="3"/>
        <v>17265.599999999999</v>
      </c>
      <c r="N75" s="283" t="s">
        <v>1017</v>
      </c>
      <c r="O75" s="253">
        <f t="shared" si="7"/>
        <v>17265.599999999999</v>
      </c>
      <c r="P75" s="283" t="s">
        <v>918</v>
      </c>
      <c r="Q75" s="283">
        <f t="shared" si="8"/>
        <v>20373.407999999996</v>
      </c>
      <c r="R75" s="283">
        <f t="shared" si="9"/>
        <v>21754.655999999999</v>
      </c>
      <c r="S75" s="33"/>
      <c r="T75" s="33"/>
    </row>
    <row r="76" spans="2:20" ht="38.25" customHeight="1" x14ac:dyDescent="0.25">
      <c r="B76" s="34">
        <v>69</v>
      </c>
      <c r="C76" s="88">
        <v>180.1</v>
      </c>
      <c r="D76" s="82" t="s">
        <v>1019</v>
      </c>
      <c r="E76" s="88" t="s">
        <v>158</v>
      </c>
      <c r="F76" s="88">
        <v>549</v>
      </c>
      <c r="G76" s="88"/>
      <c r="H76" s="41" t="s">
        <v>915</v>
      </c>
      <c r="I76" s="88" t="s">
        <v>930</v>
      </c>
      <c r="J76" s="283">
        <v>24265.8</v>
      </c>
      <c r="K76" s="284">
        <f t="shared" si="10"/>
        <v>1.0126343788097087</v>
      </c>
      <c r="L76" s="285">
        <f>$V$8</f>
        <v>1.2634378809708687E-2</v>
      </c>
      <c r="M76" s="283">
        <f t="shared" si="3"/>
        <v>24572.38330932063</v>
      </c>
      <c r="N76" s="283" t="s">
        <v>1020</v>
      </c>
      <c r="O76" s="253">
        <f t="shared" si="7"/>
        <v>24572.38330932063</v>
      </c>
      <c r="P76" s="283" t="s">
        <v>918</v>
      </c>
      <c r="Q76" s="283">
        <f t="shared" si="8"/>
        <v>28995.412304998343</v>
      </c>
      <c r="R76" s="283">
        <f t="shared" si="9"/>
        <v>30961.202969743994</v>
      </c>
      <c r="S76" s="33"/>
      <c r="T76" s="33"/>
    </row>
    <row r="77" spans="2:20" ht="15" customHeight="1" x14ac:dyDescent="0.25">
      <c r="B77" s="34">
        <v>70</v>
      </c>
      <c r="C77" s="41" t="s">
        <v>439</v>
      </c>
      <c r="D77" s="82" t="s">
        <v>440</v>
      </c>
      <c r="E77" s="88" t="s">
        <v>158</v>
      </c>
      <c r="F77" s="88">
        <v>549</v>
      </c>
      <c r="G77" s="88">
        <v>65.400000000000006</v>
      </c>
      <c r="H77" s="41" t="s">
        <v>924</v>
      </c>
      <c r="I77" s="88" t="s">
        <v>930</v>
      </c>
      <c r="J77" s="283">
        <v>35904.6</v>
      </c>
      <c r="K77" s="284">
        <f t="shared" si="10"/>
        <v>1</v>
      </c>
      <c r="L77" s="285">
        <v>0</v>
      </c>
      <c r="M77" s="283">
        <f t="shared" si="3"/>
        <v>35904.6</v>
      </c>
      <c r="N77" s="283" t="s">
        <v>1017</v>
      </c>
      <c r="O77" s="253">
        <f t="shared" si="7"/>
        <v>35904.6</v>
      </c>
      <c r="P77" s="283" t="s">
        <v>918</v>
      </c>
      <c r="Q77" s="283">
        <f t="shared" si="8"/>
        <v>42367.427999999993</v>
      </c>
      <c r="R77" s="283">
        <f t="shared" si="9"/>
        <v>45239.796000000002</v>
      </c>
      <c r="S77" s="33"/>
      <c r="T77" s="33"/>
    </row>
    <row r="78" spans="2:20" ht="38.25" customHeight="1" x14ac:dyDescent="0.25">
      <c r="B78" s="34">
        <v>71</v>
      </c>
      <c r="C78" s="86">
        <v>181.1</v>
      </c>
      <c r="D78" s="82" t="s">
        <v>1021</v>
      </c>
      <c r="E78" s="88" t="s">
        <v>158</v>
      </c>
      <c r="F78" s="88">
        <v>549</v>
      </c>
      <c r="G78" s="88"/>
      <c r="H78" s="41" t="s">
        <v>915</v>
      </c>
      <c r="I78" s="88" t="s">
        <v>930</v>
      </c>
      <c r="J78" s="283">
        <v>24265.8</v>
      </c>
      <c r="K78" s="284">
        <f t="shared" si="10"/>
        <v>1.0126343788097087</v>
      </c>
      <c r="L78" s="285">
        <f>$V$8</f>
        <v>1.2634378809708687E-2</v>
      </c>
      <c r="M78" s="283">
        <f t="shared" si="3"/>
        <v>24572.38330932063</v>
      </c>
      <c r="N78" s="283" t="s">
        <v>1022</v>
      </c>
      <c r="O78" s="253">
        <f t="shared" si="7"/>
        <v>24572.38330932063</v>
      </c>
      <c r="P78" s="283" t="s">
        <v>918</v>
      </c>
      <c r="Q78" s="283">
        <f t="shared" si="8"/>
        <v>28995.412304998343</v>
      </c>
      <c r="R78" s="283">
        <f t="shared" si="9"/>
        <v>30961.202969743994</v>
      </c>
      <c r="S78" s="33"/>
      <c r="T78" s="33"/>
    </row>
    <row r="79" spans="2:20" ht="15" customHeight="1" x14ac:dyDescent="0.25">
      <c r="B79" s="34">
        <v>72</v>
      </c>
      <c r="C79" s="41" t="s">
        <v>1023</v>
      </c>
      <c r="D79" s="82" t="s">
        <v>1024</v>
      </c>
      <c r="E79" s="88" t="s">
        <v>158</v>
      </c>
      <c r="F79" s="88">
        <v>549</v>
      </c>
      <c r="G79" s="88">
        <v>65.400000000000006</v>
      </c>
      <c r="H79" s="41" t="s">
        <v>924</v>
      </c>
      <c r="I79" s="88" t="s">
        <v>930</v>
      </c>
      <c r="J79" s="283">
        <v>35904.6</v>
      </c>
      <c r="K79" s="284">
        <f t="shared" si="10"/>
        <v>1</v>
      </c>
      <c r="L79" s="285">
        <v>0</v>
      </c>
      <c r="M79" s="283">
        <f t="shared" si="3"/>
        <v>35904.6</v>
      </c>
      <c r="N79" s="283" t="s">
        <v>1017</v>
      </c>
      <c r="O79" s="253">
        <f t="shared" si="7"/>
        <v>35904.6</v>
      </c>
      <c r="P79" s="283" t="s">
        <v>918</v>
      </c>
      <c r="Q79" s="283">
        <f t="shared" si="8"/>
        <v>42367.427999999993</v>
      </c>
      <c r="R79" s="283">
        <f t="shared" si="9"/>
        <v>45239.796000000002</v>
      </c>
      <c r="S79" s="33"/>
      <c r="T79" s="33"/>
    </row>
    <row r="80" spans="2:20" ht="15" customHeight="1" x14ac:dyDescent="0.25">
      <c r="B80" s="34">
        <v>73</v>
      </c>
      <c r="C80" s="86">
        <v>176.1</v>
      </c>
      <c r="D80" s="82" t="s">
        <v>1025</v>
      </c>
      <c r="E80" s="88" t="s">
        <v>158</v>
      </c>
      <c r="F80" s="88">
        <v>55.5</v>
      </c>
      <c r="G80" s="88"/>
      <c r="H80" s="41" t="s">
        <v>915</v>
      </c>
      <c r="I80" s="88" t="s">
        <v>930</v>
      </c>
      <c r="J80" s="283">
        <v>2783.25</v>
      </c>
      <c r="K80" s="284">
        <f t="shared" si="10"/>
        <v>1.0126343788097087</v>
      </c>
      <c r="L80" s="285">
        <f>$V$8</f>
        <v>1.2634378809708687E-2</v>
      </c>
      <c r="M80" s="283">
        <f t="shared" si="3"/>
        <v>2818.414634822122</v>
      </c>
      <c r="N80" s="283" t="s">
        <v>961</v>
      </c>
      <c r="O80" s="253">
        <f t="shared" si="7"/>
        <v>2818.414634822122</v>
      </c>
      <c r="P80" s="283" t="s">
        <v>918</v>
      </c>
      <c r="Q80" s="283">
        <f t="shared" si="8"/>
        <v>3325.729269090104</v>
      </c>
      <c r="R80" s="283">
        <f t="shared" si="9"/>
        <v>3551.2024398758736</v>
      </c>
      <c r="S80" s="33"/>
      <c r="T80" s="33"/>
    </row>
    <row r="81" spans="2:20" ht="15" customHeight="1" x14ac:dyDescent="0.25">
      <c r="B81" s="34">
        <v>74</v>
      </c>
      <c r="C81" s="41" t="s">
        <v>441</v>
      </c>
      <c r="D81" s="82" t="s">
        <v>1026</v>
      </c>
      <c r="E81" s="88" t="s">
        <v>158</v>
      </c>
      <c r="F81" s="88">
        <v>55.5</v>
      </c>
      <c r="G81" s="88">
        <v>65.400000000000006</v>
      </c>
      <c r="H81" s="41" t="s">
        <v>924</v>
      </c>
      <c r="I81" s="88" t="s">
        <v>930</v>
      </c>
      <c r="J81" s="283">
        <v>3629.7000000000003</v>
      </c>
      <c r="K81" s="284">
        <f t="shared" si="10"/>
        <v>1</v>
      </c>
      <c r="L81" s="285">
        <v>0</v>
      </c>
      <c r="M81" s="283">
        <f t="shared" si="3"/>
        <v>3629.7000000000003</v>
      </c>
      <c r="N81" s="283" t="s">
        <v>1017</v>
      </c>
      <c r="O81" s="253">
        <f t="shared" si="7"/>
        <v>3629.7000000000003</v>
      </c>
      <c r="P81" s="283" t="s">
        <v>918</v>
      </c>
      <c r="Q81" s="283">
        <f t="shared" si="8"/>
        <v>4283.0460000000003</v>
      </c>
      <c r="R81" s="283">
        <f t="shared" si="9"/>
        <v>4573.4220000000005</v>
      </c>
      <c r="S81" s="33"/>
      <c r="T81" s="33"/>
    </row>
    <row r="82" spans="2:20" ht="15" customHeight="1" x14ac:dyDescent="0.25">
      <c r="B82" s="34">
        <v>75</v>
      </c>
      <c r="C82" s="86">
        <v>182.1</v>
      </c>
      <c r="D82" s="82" t="s">
        <v>1027</v>
      </c>
      <c r="E82" s="88" t="s">
        <v>158</v>
      </c>
      <c r="F82" s="88">
        <v>264</v>
      </c>
      <c r="G82" s="88"/>
      <c r="H82" s="41" t="s">
        <v>915</v>
      </c>
      <c r="I82" s="88" t="s">
        <v>930</v>
      </c>
      <c r="J82" s="283">
        <v>12269.75</v>
      </c>
      <c r="K82" s="284">
        <f t="shared" si="10"/>
        <v>1.0126343788097087</v>
      </c>
      <c r="L82" s="285">
        <f>$V$8</f>
        <v>1.2634378809708687E-2</v>
      </c>
      <c r="M82" s="283">
        <f t="shared" si="3"/>
        <v>12424.770669400425</v>
      </c>
      <c r="N82" s="283" t="s">
        <v>961</v>
      </c>
      <c r="O82" s="253">
        <f t="shared" si="7"/>
        <v>12424.770669400425</v>
      </c>
      <c r="P82" s="283" t="s">
        <v>918</v>
      </c>
      <c r="Q82" s="283">
        <f t="shared" si="8"/>
        <v>14661.2293898925</v>
      </c>
      <c r="R82" s="283">
        <f t="shared" si="9"/>
        <v>15655.211043444535</v>
      </c>
      <c r="S82" s="33"/>
      <c r="T82" s="33"/>
    </row>
    <row r="83" spans="2:20" ht="15" customHeight="1" x14ac:dyDescent="0.25">
      <c r="B83" s="34">
        <v>76</v>
      </c>
      <c r="C83" s="41" t="s">
        <v>1028</v>
      </c>
      <c r="D83" s="82" t="s">
        <v>1029</v>
      </c>
      <c r="E83" s="88" t="s">
        <v>158</v>
      </c>
      <c r="F83" s="88">
        <v>264</v>
      </c>
      <c r="G83" s="88">
        <v>65.400000000000006</v>
      </c>
      <c r="H83" s="41" t="s">
        <v>924</v>
      </c>
      <c r="I83" s="88" t="s">
        <v>930</v>
      </c>
      <c r="J83" s="283">
        <v>17265.599999999999</v>
      </c>
      <c r="K83" s="284">
        <f t="shared" si="10"/>
        <v>1</v>
      </c>
      <c r="L83" s="285">
        <v>0</v>
      </c>
      <c r="M83" s="283">
        <f t="shared" si="3"/>
        <v>17265.599999999999</v>
      </c>
      <c r="N83" s="283" t="s">
        <v>1017</v>
      </c>
      <c r="O83" s="253">
        <f t="shared" si="7"/>
        <v>17265.599999999999</v>
      </c>
      <c r="P83" s="283" t="s">
        <v>918</v>
      </c>
      <c r="Q83" s="283">
        <f t="shared" si="8"/>
        <v>20373.407999999996</v>
      </c>
      <c r="R83" s="283">
        <f t="shared" si="9"/>
        <v>21754.655999999999</v>
      </c>
      <c r="S83" s="33"/>
      <c r="T83" s="33"/>
    </row>
    <row r="84" spans="2:20" ht="25.5" customHeight="1" x14ac:dyDescent="0.25">
      <c r="B84" s="34">
        <v>77</v>
      </c>
      <c r="C84" s="86">
        <v>173.1</v>
      </c>
      <c r="D84" s="82" t="s">
        <v>1030</v>
      </c>
      <c r="E84" s="88" t="s">
        <v>158</v>
      </c>
      <c r="F84" s="88">
        <v>817</v>
      </c>
      <c r="G84" s="88"/>
      <c r="H84" s="41" t="s">
        <v>915</v>
      </c>
      <c r="I84" s="88" t="s">
        <v>930</v>
      </c>
      <c r="J84" s="283">
        <v>41281</v>
      </c>
      <c r="K84" s="284">
        <f t="shared" si="10"/>
        <v>1.0126343788097087</v>
      </c>
      <c r="L84" s="285">
        <f>$V$8</f>
        <v>1.2634378809708687E-2</v>
      </c>
      <c r="M84" s="283">
        <f t="shared" si="3"/>
        <v>41802.559791643587</v>
      </c>
      <c r="N84" s="283" t="s">
        <v>961</v>
      </c>
      <c r="O84" s="253">
        <f t="shared" si="7"/>
        <v>41802.559791643587</v>
      </c>
      <c r="P84" s="283" t="s">
        <v>918</v>
      </c>
      <c r="Q84" s="283">
        <f t="shared" si="8"/>
        <v>49327.020554139432</v>
      </c>
      <c r="R84" s="283">
        <f t="shared" si="9"/>
        <v>52671.225337470918</v>
      </c>
      <c r="S84" s="33"/>
      <c r="T84" s="33"/>
    </row>
    <row r="85" spans="2:20" ht="25.5" customHeight="1" x14ac:dyDescent="0.25">
      <c r="B85" s="34">
        <v>78</v>
      </c>
      <c r="C85" s="41" t="s">
        <v>442</v>
      </c>
      <c r="D85" s="82" t="s">
        <v>443</v>
      </c>
      <c r="E85" s="88" t="s">
        <v>158</v>
      </c>
      <c r="F85" s="88">
        <v>817</v>
      </c>
      <c r="G85" s="88">
        <v>65.400000000000006</v>
      </c>
      <c r="H85" s="41" t="s">
        <v>924</v>
      </c>
      <c r="I85" s="88" t="s">
        <v>930</v>
      </c>
      <c r="J85" s="283">
        <v>53431.8</v>
      </c>
      <c r="K85" s="284">
        <f t="shared" si="10"/>
        <v>1</v>
      </c>
      <c r="L85" s="285">
        <v>0</v>
      </c>
      <c r="M85" s="283">
        <f t="shared" si="3"/>
        <v>53431.8</v>
      </c>
      <c r="N85" s="283" t="s">
        <v>1017</v>
      </c>
      <c r="O85" s="253">
        <f t="shared" si="7"/>
        <v>53431.8</v>
      </c>
      <c r="P85" s="283" t="s">
        <v>918</v>
      </c>
      <c r="Q85" s="283">
        <f t="shared" si="8"/>
        <v>63049.523999999998</v>
      </c>
      <c r="R85" s="283">
        <f t="shared" si="9"/>
        <v>67324.067999999999</v>
      </c>
      <c r="S85" s="33"/>
      <c r="T85" s="33"/>
    </row>
    <row r="86" spans="2:20" ht="15" customHeight="1" x14ac:dyDescent="0.25">
      <c r="B86" s="34">
        <v>79</v>
      </c>
      <c r="C86" s="86">
        <v>175.1</v>
      </c>
      <c r="D86" s="87" t="s">
        <v>1031</v>
      </c>
      <c r="E86" s="88" t="s">
        <v>158</v>
      </c>
      <c r="F86" s="88">
        <v>549</v>
      </c>
      <c r="G86" s="88"/>
      <c r="H86" s="41" t="s">
        <v>915</v>
      </c>
      <c r="I86" s="88" t="s">
        <v>930</v>
      </c>
      <c r="J86" s="283">
        <v>27755.5</v>
      </c>
      <c r="K86" s="284">
        <f t="shared" si="10"/>
        <v>1.0126343788097087</v>
      </c>
      <c r="L86" s="285">
        <f>$V$8</f>
        <v>1.2634378809708687E-2</v>
      </c>
      <c r="M86" s="283">
        <f t="shared" si="3"/>
        <v>28106.173501052872</v>
      </c>
      <c r="N86" s="283" t="s">
        <v>961</v>
      </c>
      <c r="O86" s="253">
        <f t="shared" si="7"/>
        <v>28106.173501052872</v>
      </c>
      <c r="P86" s="283" t="s">
        <v>918</v>
      </c>
      <c r="Q86" s="283">
        <f t="shared" si="8"/>
        <v>33165.284731242384</v>
      </c>
      <c r="R86" s="283">
        <f t="shared" si="9"/>
        <v>35413.778611326619</v>
      </c>
      <c r="S86" s="33"/>
      <c r="T86" s="33"/>
    </row>
    <row r="87" spans="2:20" ht="25.5" customHeight="1" x14ac:dyDescent="0.25">
      <c r="B87" s="34">
        <v>80</v>
      </c>
      <c r="C87" s="41" t="s">
        <v>444</v>
      </c>
      <c r="D87" s="87" t="s">
        <v>445</v>
      </c>
      <c r="E87" s="88" t="s">
        <v>158</v>
      </c>
      <c r="F87" s="88">
        <v>549</v>
      </c>
      <c r="G87" s="88">
        <v>65.400000000000006</v>
      </c>
      <c r="H87" s="41" t="s">
        <v>924</v>
      </c>
      <c r="I87" s="88" t="s">
        <v>930</v>
      </c>
      <c r="J87" s="283">
        <v>35904.6</v>
      </c>
      <c r="K87" s="284">
        <f t="shared" si="10"/>
        <v>1</v>
      </c>
      <c r="L87" s="285">
        <v>0</v>
      </c>
      <c r="M87" s="283">
        <f t="shared" si="3"/>
        <v>35904.6</v>
      </c>
      <c r="N87" s="283" t="s">
        <v>1017</v>
      </c>
      <c r="O87" s="253">
        <f t="shared" si="7"/>
        <v>35904.6</v>
      </c>
      <c r="P87" s="283" t="s">
        <v>918</v>
      </c>
      <c r="Q87" s="283">
        <f t="shared" si="8"/>
        <v>42367.427999999993</v>
      </c>
      <c r="R87" s="283">
        <f t="shared" si="9"/>
        <v>45239.796000000002</v>
      </c>
      <c r="S87" s="33"/>
      <c r="T87" s="33"/>
    </row>
    <row r="88" spans="2:20" ht="25.5" customHeight="1" x14ac:dyDescent="0.25">
      <c r="B88" s="34">
        <v>81</v>
      </c>
      <c r="C88" s="86">
        <v>178.1</v>
      </c>
      <c r="D88" s="87" t="s">
        <v>1032</v>
      </c>
      <c r="E88" s="88" t="s">
        <v>158</v>
      </c>
      <c r="F88" s="88">
        <v>549</v>
      </c>
      <c r="G88" s="88"/>
      <c r="H88" s="41" t="s">
        <v>915</v>
      </c>
      <c r="I88" s="88" t="s">
        <v>930</v>
      </c>
      <c r="J88" s="283">
        <v>27755.5</v>
      </c>
      <c r="K88" s="284">
        <f t="shared" si="10"/>
        <v>1.0126343788097087</v>
      </c>
      <c r="L88" s="285">
        <f>$V$8</f>
        <v>1.2634378809708687E-2</v>
      </c>
      <c r="M88" s="283">
        <f t="shared" si="3"/>
        <v>28106.173501052872</v>
      </c>
      <c r="N88" s="283" t="s">
        <v>961</v>
      </c>
      <c r="O88" s="253">
        <f t="shared" si="7"/>
        <v>28106.173501052872</v>
      </c>
      <c r="P88" s="283" t="s">
        <v>918</v>
      </c>
      <c r="Q88" s="283">
        <f t="shared" si="8"/>
        <v>33165.284731242384</v>
      </c>
      <c r="R88" s="283">
        <f t="shared" si="9"/>
        <v>35413.778611326619</v>
      </c>
      <c r="S88" s="33"/>
      <c r="T88" s="33"/>
    </row>
    <row r="89" spans="2:20" ht="25.5" customHeight="1" x14ac:dyDescent="0.25">
      <c r="B89" s="34">
        <v>82</v>
      </c>
      <c r="C89" s="41" t="s">
        <v>446</v>
      </c>
      <c r="D89" s="87" t="s">
        <v>447</v>
      </c>
      <c r="E89" s="88" t="s">
        <v>158</v>
      </c>
      <c r="F89" s="88">
        <v>549</v>
      </c>
      <c r="G89" s="88">
        <v>65.400000000000006</v>
      </c>
      <c r="H89" s="41" t="s">
        <v>924</v>
      </c>
      <c r="I89" s="88" t="s">
        <v>930</v>
      </c>
      <c r="J89" s="283">
        <v>35904.6</v>
      </c>
      <c r="K89" s="284">
        <f t="shared" si="10"/>
        <v>1</v>
      </c>
      <c r="L89" s="285">
        <v>0</v>
      </c>
      <c r="M89" s="283">
        <f t="shared" si="3"/>
        <v>35904.6</v>
      </c>
      <c r="N89" s="283" t="s">
        <v>1017</v>
      </c>
      <c r="O89" s="253">
        <f t="shared" si="7"/>
        <v>35904.6</v>
      </c>
      <c r="P89" s="283" t="s">
        <v>918</v>
      </c>
      <c r="Q89" s="283">
        <f t="shared" si="8"/>
        <v>42367.427999999993</v>
      </c>
      <c r="R89" s="283">
        <f t="shared" si="9"/>
        <v>45239.796000000002</v>
      </c>
      <c r="S89" s="33"/>
      <c r="T89" s="33"/>
    </row>
    <row r="90" spans="2:20" customFormat="1" ht="25.5" customHeight="1" x14ac:dyDescent="0.25">
      <c r="B90" s="34">
        <v>83</v>
      </c>
      <c r="C90" s="41" t="s">
        <v>1033</v>
      </c>
      <c r="D90" s="251" t="s">
        <v>1034</v>
      </c>
      <c r="E90" s="41" t="s">
        <v>157</v>
      </c>
      <c r="F90" s="88"/>
      <c r="G90" s="88"/>
      <c r="H90" s="41" t="s">
        <v>924</v>
      </c>
      <c r="I90" s="299" t="s">
        <v>916</v>
      </c>
      <c r="J90" s="283">
        <v>18000</v>
      </c>
      <c r="K90" s="284">
        <f t="shared" si="10"/>
        <v>1.0267365704887732</v>
      </c>
      <c r="L90" s="285">
        <f t="shared" ref="L90:L96" si="11">$L$3</f>
        <v>2.6736570488773183E-2</v>
      </c>
      <c r="M90" s="283">
        <f t="shared" si="3"/>
        <v>18481.258268797919</v>
      </c>
      <c r="N90" s="283" t="s">
        <v>939</v>
      </c>
      <c r="O90" s="253">
        <f t="shared" si="7"/>
        <v>18481.258268797919</v>
      </c>
      <c r="P90" s="283" t="s">
        <v>918</v>
      </c>
      <c r="Q90" s="283">
        <f t="shared" si="8"/>
        <v>21807.884757181542</v>
      </c>
      <c r="R90" s="283">
        <f t="shared" si="9"/>
        <v>23286.385418685379</v>
      </c>
    </row>
    <row r="91" spans="2:20" customFormat="1" ht="25.5" customHeight="1" x14ac:dyDescent="0.25">
      <c r="B91" s="34">
        <v>84</v>
      </c>
      <c r="C91" s="84" t="s">
        <v>1035</v>
      </c>
      <c r="D91" s="251" t="s">
        <v>1036</v>
      </c>
      <c r="E91" s="41" t="s">
        <v>157</v>
      </c>
      <c r="F91" s="88"/>
      <c r="G91" s="88"/>
      <c r="H91" s="41" t="s">
        <v>924</v>
      </c>
      <c r="I91" s="252" t="s">
        <v>916</v>
      </c>
      <c r="J91" s="283">
        <v>18277</v>
      </c>
      <c r="K91" s="284">
        <f t="shared" si="10"/>
        <v>1.0267365704887732</v>
      </c>
      <c r="L91" s="285">
        <f t="shared" si="11"/>
        <v>2.6736570488773183E-2</v>
      </c>
      <c r="M91" s="283">
        <f t="shared" si="3"/>
        <v>18765.664298823307</v>
      </c>
      <c r="N91" s="283" t="s">
        <v>939</v>
      </c>
      <c r="O91" s="253">
        <f t="shared" si="7"/>
        <v>18765.664298823307</v>
      </c>
      <c r="P91" s="283" t="s">
        <v>918</v>
      </c>
      <c r="Q91" s="283">
        <f t="shared" si="8"/>
        <v>22143.483872611501</v>
      </c>
      <c r="R91" s="283">
        <f t="shared" si="9"/>
        <v>23644.737016517367</v>
      </c>
      <c r="S91" s="33"/>
      <c r="T91" s="33">
        <f>COUNT(#REF!)</f>
        <v>0</v>
      </c>
    </row>
    <row r="92" spans="2:20" customFormat="1" ht="25.5" customHeight="1" x14ac:dyDescent="0.25">
      <c r="B92" s="34">
        <v>85</v>
      </c>
      <c r="C92" s="84" t="s">
        <v>1037</v>
      </c>
      <c r="D92" s="251" t="s">
        <v>1038</v>
      </c>
      <c r="E92" s="41" t="s">
        <v>157</v>
      </c>
      <c r="F92" s="88"/>
      <c r="G92" s="88"/>
      <c r="H92" s="41" t="s">
        <v>924</v>
      </c>
      <c r="I92" s="252" t="s">
        <v>916</v>
      </c>
      <c r="J92" s="283">
        <v>18948</v>
      </c>
      <c r="K92" s="284">
        <f t="shared" si="10"/>
        <v>1.0267365704887732</v>
      </c>
      <c r="L92" s="285">
        <f t="shared" si="11"/>
        <v>2.6736570488773183E-2</v>
      </c>
      <c r="M92" s="283">
        <f t="shared" si="3"/>
        <v>19454.604537621275</v>
      </c>
      <c r="N92" s="283" t="s">
        <v>939</v>
      </c>
      <c r="O92" s="253">
        <f t="shared" si="7"/>
        <v>19454.604537621275</v>
      </c>
      <c r="P92" s="283" t="s">
        <v>918</v>
      </c>
      <c r="Q92" s="283">
        <f t="shared" si="8"/>
        <v>22956.433354393102</v>
      </c>
      <c r="R92" s="283">
        <f t="shared" si="9"/>
        <v>24512.801717402806</v>
      </c>
      <c r="S92" s="33"/>
      <c r="T92" s="33">
        <f>COUNT(#REF!)</f>
        <v>0</v>
      </c>
    </row>
    <row r="93" spans="2:20" customFormat="1" ht="25.5" customHeight="1" x14ac:dyDescent="0.25">
      <c r="B93" s="34">
        <v>86</v>
      </c>
      <c r="C93" s="84" t="s">
        <v>1039</v>
      </c>
      <c r="D93" s="251" t="s">
        <v>1040</v>
      </c>
      <c r="E93" s="41" t="s">
        <v>157</v>
      </c>
      <c r="F93" s="88"/>
      <c r="G93" s="88"/>
      <c r="H93" s="41" t="s">
        <v>924</v>
      </c>
      <c r="I93" s="252" t="s">
        <v>916</v>
      </c>
      <c r="J93" s="283">
        <v>16868</v>
      </c>
      <c r="K93" s="284">
        <f t="shared" si="10"/>
        <v>1.0267365704887732</v>
      </c>
      <c r="L93" s="285">
        <f t="shared" si="11"/>
        <v>2.6736570488773183E-2</v>
      </c>
      <c r="M93" s="283">
        <f t="shared" si="3"/>
        <v>17318.992471004625</v>
      </c>
      <c r="N93" s="283" t="s">
        <v>939</v>
      </c>
      <c r="O93" s="253">
        <f t="shared" si="7"/>
        <v>17318.992471004625</v>
      </c>
      <c r="P93" s="283" t="s">
        <v>918</v>
      </c>
      <c r="Q93" s="283">
        <f t="shared" si="8"/>
        <v>20436.411115785457</v>
      </c>
      <c r="R93" s="283">
        <f t="shared" si="9"/>
        <v>21821.930513465828</v>
      </c>
      <c r="S93" s="33"/>
      <c r="T93" s="33">
        <f>COUNT(#REF!)</f>
        <v>0</v>
      </c>
    </row>
    <row r="94" spans="2:20" customFormat="1" ht="25.5" customHeight="1" x14ac:dyDescent="0.25">
      <c r="B94" s="34">
        <v>87</v>
      </c>
      <c r="C94" s="41" t="s">
        <v>1041</v>
      </c>
      <c r="D94" s="251" t="s">
        <v>1042</v>
      </c>
      <c r="E94" s="41" t="s">
        <v>157</v>
      </c>
      <c r="F94" s="88"/>
      <c r="G94" s="88"/>
      <c r="H94" s="41" t="s">
        <v>924</v>
      </c>
      <c r="I94" s="252" t="s">
        <v>916</v>
      </c>
      <c r="J94" s="283">
        <v>16000</v>
      </c>
      <c r="K94" s="284">
        <f t="shared" si="10"/>
        <v>1.0267365704887732</v>
      </c>
      <c r="L94" s="285">
        <f t="shared" si="11"/>
        <v>2.6736570488773183E-2</v>
      </c>
      <c r="M94" s="283">
        <f t="shared" si="3"/>
        <v>16427.785127820371</v>
      </c>
      <c r="N94" s="283" t="s">
        <v>939</v>
      </c>
      <c r="O94" s="253">
        <f t="shared" si="7"/>
        <v>16427.785127820371</v>
      </c>
      <c r="P94" s="283" t="s">
        <v>918</v>
      </c>
      <c r="Q94" s="283">
        <f t="shared" si="8"/>
        <v>19384.786450828036</v>
      </c>
      <c r="R94" s="283">
        <f t="shared" si="9"/>
        <v>20699.009261053667</v>
      </c>
    </row>
    <row r="95" spans="2:20" customFormat="1" ht="25.5" customHeight="1" x14ac:dyDescent="0.25">
      <c r="B95" s="34">
        <v>88</v>
      </c>
      <c r="C95" s="41" t="s">
        <v>1043</v>
      </c>
      <c r="D95" s="251" t="s">
        <v>1044</v>
      </c>
      <c r="E95" s="41" t="s">
        <v>157</v>
      </c>
      <c r="F95" s="88"/>
      <c r="G95" s="88"/>
      <c r="H95" s="41" t="s">
        <v>924</v>
      </c>
      <c r="I95" s="252" t="s">
        <v>916</v>
      </c>
      <c r="J95" s="283">
        <v>17208.23</v>
      </c>
      <c r="K95" s="284">
        <f t="shared" si="10"/>
        <v>1.0267365704887732</v>
      </c>
      <c r="L95" s="285">
        <f t="shared" si="11"/>
        <v>2.6736570488773183E-2</v>
      </c>
      <c r="M95" s="283">
        <f t="shared" si="3"/>
        <v>17668.31905438202</v>
      </c>
      <c r="N95" s="283" t="s">
        <v>925</v>
      </c>
      <c r="O95" s="253">
        <f t="shared" si="7"/>
        <v>17668.31905438202</v>
      </c>
      <c r="P95" s="283" t="s">
        <v>918</v>
      </c>
      <c r="Q95" s="283">
        <f t="shared" si="8"/>
        <v>20848.616484170783</v>
      </c>
      <c r="R95" s="283">
        <f t="shared" si="9"/>
        <v>22262.082008521345</v>
      </c>
      <c r="S95" s="33"/>
      <c r="T95" s="33">
        <f>COUNT(#REF!)</f>
        <v>0</v>
      </c>
    </row>
    <row r="96" spans="2:20" customFormat="1" ht="15" customHeight="1" x14ac:dyDescent="0.25">
      <c r="B96" s="34">
        <v>89</v>
      </c>
      <c r="C96" s="41" t="s">
        <v>1045</v>
      </c>
      <c r="D96" s="251" t="s">
        <v>1046</v>
      </c>
      <c r="E96" s="41" t="s">
        <v>157</v>
      </c>
      <c r="F96" s="88"/>
      <c r="G96" s="88"/>
      <c r="H96" s="41" t="s">
        <v>924</v>
      </c>
      <c r="I96" s="252" t="s">
        <v>916</v>
      </c>
      <c r="J96" s="283">
        <v>15910</v>
      </c>
      <c r="K96" s="284">
        <f t="shared" si="10"/>
        <v>1.0267365704887732</v>
      </c>
      <c r="L96" s="285">
        <f t="shared" si="11"/>
        <v>2.6736570488773183E-2</v>
      </c>
      <c r="M96" s="283">
        <f t="shared" si="3"/>
        <v>16335.378836476382</v>
      </c>
      <c r="N96" s="89" t="s">
        <v>1047</v>
      </c>
      <c r="O96" s="253">
        <f t="shared" si="7"/>
        <v>16335.378836476382</v>
      </c>
      <c r="P96" s="283" t="s">
        <v>918</v>
      </c>
      <c r="Q96" s="283">
        <f t="shared" si="8"/>
        <v>19275.747027042129</v>
      </c>
      <c r="R96" s="283">
        <f t="shared" si="9"/>
        <v>20582.577333960242</v>
      </c>
      <c r="S96" s="259"/>
      <c r="T96" s="259">
        <f>COUNT(#REF!)</f>
        <v>0</v>
      </c>
    </row>
    <row r="97" spans="2:20" customFormat="1" ht="15" customHeight="1" x14ac:dyDescent="0.25">
      <c r="B97" s="34">
        <v>90</v>
      </c>
      <c r="C97" s="41" t="s">
        <v>1048</v>
      </c>
      <c r="D97" s="251" t="s">
        <v>1049</v>
      </c>
      <c r="E97" s="41" t="s">
        <v>157</v>
      </c>
      <c r="F97" s="88"/>
      <c r="G97" s="88"/>
      <c r="H97" s="41" t="s">
        <v>924</v>
      </c>
      <c r="I97" s="252" t="s">
        <v>916</v>
      </c>
      <c r="J97" s="283">
        <v>11567</v>
      </c>
      <c r="K97" s="284">
        <f t="shared" si="10"/>
        <v>1.0657773317498953</v>
      </c>
      <c r="L97" s="285">
        <f>$L$2</f>
        <v>6.5777331749895404E-2</v>
      </c>
      <c r="M97" s="283">
        <f t="shared" si="3"/>
        <v>12327.846396351038</v>
      </c>
      <c r="N97" s="283" t="s">
        <v>989</v>
      </c>
      <c r="O97" s="253">
        <f t="shared" si="7"/>
        <v>12327.846396351038</v>
      </c>
      <c r="P97" s="283" t="s">
        <v>918</v>
      </c>
      <c r="Q97" s="283">
        <f t="shared" si="8"/>
        <v>14546.858747694225</v>
      </c>
      <c r="R97" s="283">
        <f t="shared" si="9"/>
        <v>15533.086459402308</v>
      </c>
      <c r="S97" s="259"/>
      <c r="T97" s="259">
        <f>COUNT(#REF!)</f>
        <v>0</v>
      </c>
    </row>
    <row r="98" spans="2:20" ht="15" customHeight="1" x14ac:dyDescent="0.25">
      <c r="B98" s="34">
        <v>91</v>
      </c>
      <c r="C98" s="86">
        <v>191.1</v>
      </c>
      <c r="D98" s="82" t="s">
        <v>449</v>
      </c>
      <c r="E98" s="88" t="s">
        <v>158</v>
      </c>
      <c r="F98" s="88"/>
      <c r="G98" s="88"/>
      <c r="H98" s="41" t="s">
        <v>915</v>
      </c>
      <c r="I98" s="88" t="s">
        <v>916</v>
      </c>
      <c r="J98" s="283">
        <v>74975</v>
      </c>
      <c r="K98" s="284">
        <f t="shared" si="10"/>
        <v>1.0441014332965821</v>
      </c>
      <c r="L98" s="285">
        <f>$U$9</f>
        <v>4.4101433296582136E-2</v>
      </c>
      <c r="M98" s="283">
        <f t="shared" si="3"/>
        <v>78281.50496141125</v>
      </c>
      <c r="N98" s="283" t="s">
        <v>936</v>
      </c>
      <c r="O98" s="253">
        <f t="shared" si="7"/>
        <v>78281.50496141125</v>
      </c>
      <c r="P98" s="283" t="s">
        <v>918</v>
      </c>
      <c r="Q98" s="283">
        <f t="shared" si="8"/>
        <v>92372.175854465269</v>
      </c>
      <c r="R98" s="283">
        <f t="shared" si="9"/>
        <v>98634.696251378176</v>
      </c>
      <c r="S98" s="33"/>
      <c r="T98" s="33"/>
    </row>
    <row r="99" spans="2:20" ht="25.5" customHeight="1" x14ac:dyDescent="0.25">
      <c r="B99" s="34">
        <v>92</v>
      </c>
      <c r="C99" s="41" t="s">
        <v>1050</v>
      </c>
      <c r="D99" s="82" t="s">
        <v>1051</v>
      </c>
      <c r="E99" s="88" t="s">
        <v>158</v>
      </c>
      <c r="F99" s="88"/>
      <c r="G99" s="88"/>
      <c r="H99" s="41" t="s">
        <v>924</v>
      </c>
      <c r="I99" s="88" t="s">
        <v>930</v>
      </c>
      <c r="J99" s="283">
        <v>37487.5</v>
      </c>
      <c r="K99" s="284">
        <f t="shared" si="10"/>
        <v>1.0267365704887732</v>
      </c>
      <c r="L99" s="285">
        <f>$L$3</f>
        <v>2.6736570488773183E-2</v>
      </c>
      <c r="M99" s="283">
        <f t="shared" si="3"/>
        <v>38489.787186197886</v>
      </c>
      <c r="N99" s="283" t="s">
        <v>939</v>
      </c>
      <c r="O99" s="253">
        <f t="shared" si="7"/>
        <v>38489.787186197886</v>
      </c>
      <c r="P99" s="283" t="s">
        <v>918</v>
      </c>
      <c r="Q99" s="283">
        <f t="shared" si="8"/>
        <v>45417.948879713505</v>
      </c>
      <c r="R99" s="283">
        <f t="shared" si="9"/>
        <v>48497.131854609339</v>
      </c>
      <c r="S99" s="33"/>
      <c r="T99" s="33"/>
    </row>
    <row r="100" spans="2:20" ht="15" customHeight="1" x14ac:dyDescent="0.25">
      <c r="B100" s="34">
        <v>93</v>
      </c>
      <c r="C100" s="86">
        <v>85.1</v>
      </c>
      <c r="D100" s="82" t="s">
        <v>284</v>
      </c>
      <c r="E100" s="88" t="s">
        <v>158</v>
      </c>
      <c r="F100" s="88"/>
      <c r="G100" s="88"/>
      <c r="H100" s="41" t="s">
        <v>915</v>
      </c>
      <c r="I100" s="88" t="s">
        <v>930</v>
      </c>
      <c r="J100" s="283">
        <v>619.20000000000005</v>
      </c>
      <c r="K100" s="284">
        <f t="shared" si="10"/>
        <v>1.0338280647648421</v>
      </c>
      <c r="L100" s="285">
        <f>$W$8</f>
        <v>3.3828064764842132E-2</v>
      </c>
      <c r="M100" s="283">
        <f t="shared" si="3"/>
        <v>640.14633770239027</v>
      </c>
      <c r="N100" s="283" t="s">
        <v>955</v>
      </c>
      <c r="O100" s="253">
        <f t="shared" si="7"/>
        <v>640.14633770239027</v>
      </c>
      <c r="P100" s="283" t="s">
        <v>918</v>
      </c>
      <c r="Q100" s="283">
        <f t="shared" si="8"/>
        <v>755.3726784888205</v>
      </c>
      <c r="R100" s="283">
        <f t="shared" si="9"/>
        <v>806.58438550501171</v>
      </c>
      <c r="S100" s="33"/>
      <c r="T100" s="33"/>
    </row>
    <row r="101" spans="2:20" ht="15" customHeight="1" x14ac:dyDescent="0.25">
      <c r="B101" s="34">
        <v>94</v>
      </c>
      <c r="C101" s="86">
        <v>86.1</v>
      </c>
      <c r="D101" s="82" t="s">
        <v>1052</v>
      </c>
      <c r="E101" s="88" t="s">
        <v>158</v>
      </c>
      <c r="F101" s="88"/>
      <c r="G101" s="88"/>
      <c r="H101" s="41" t="s">
        <v>915</v>
      </c>
      <c r="I101" s="88" t="s">
        <v>930</v>
      </c>
      <c r="J101" s="283">
        <v>266.95999999999998</v>
      </c>
      <c r="K101" s="284">
        <f t="shared" si="10"/>
        <v>1.0338280647648421</v>
      </c>
      <c r="L101" s="285">
        <f>$W$8</f>
        <v>3.3828064764842132E-2</v>
      </c>
      <c r="M101" s="283">
        <f t="shared" si="3"/>
        <v>275.99074016962226</v>
      </c>
      <c r="N101" s="283" t="s">
        <v>955</v>
      </c>
      <c r="O101" s="253">
        <f t="shared" si="7"/>
        <v>275.99074016962226</v>
      </c>
      <c r="P101" s="283" t="s">
        <v>918</v>
      </c>
      <c r="Q101" s="283">
        <f t="shared" si="8"/>
        <v>325.66907340015422</v>
      </c>
      <c r="R101" s="283">
        <f t="shared" si="9"/>
        <v>347.74833261372407</v>
      </c>
      <c r="S101" s="33"/>
      <c r="T101" s="33"/>
    </row>
    <row r="102" spans="2:20" ht="25.5" customHeight="1" x14ac:dyDescent="0.25">
      <c r="B102" s="34">
        <v>95</v>
      </c>
      <c r="C102" s="86">
        <v>183.1</v>
      </c>
      <c r="D102" s="82" t="s">
        <v>1053</v>
      </c>
      <c r="E102" s="88" t="s">
        <v>157</v>
      </c>
      <c r="F102" s="88"/>
      <c r="G102" s="88"/>
      <c r="H102" s="41" t="s">
        <v>915</v>
      </c>
      <c r="I102" s="88" t="s">
        <v>916</v>
      </c>
      <c r="J102" s="283">
        <v>4210100</v>
      </c>
      <c r="K102" s="284">
        <f t="shared" si="10"/>
        <v>1.0222634508348794</v>
      </c>
      <c r="L102" s="285">
        <f>$X$8</f>
        <v>2.2263450834879406E-2</v>
      </c>
      <c r="M102" s="283">
        <f t="shared" si="3"/>
        <v>4303831.3543599257</v>
      </c>
      <c r="N102" s="283" t="s">
        <v>1054</v>
      </c>
      <c r="O102" s="253">
        <f t="shared" si="7"/>
        <v>4303831.3543599257</v>
      </c>
      <c r="P102" s="283" t="s">
        <v>918</v>
      </c>
      <c r="Q102" s="283">
        <f t="shared" si="8"/>
        <v>5078520.9981447123</v>
      </c>
      <c r="R102" s="283">
        <f t="shared" si="9"/>
        <v>5422827.506493506</v>
      </c>
      <c r="S102" s="325">
        <v>4210100</v>
      </c>
      <c r="T102" s="325">
        <v>426235.91</v>
      </c>
    </row>
    <row r="103" spans="2:20" ht="25.5" customHeight="1" x14ac:dyDescent="0.25">
      <c r="B103" s="34">
        <v>96</v>
      </c>
      <c r="C103" s="72" t="s">
        <v>680</v>
      </c>
      <c r="D103" s="82" t="s">
        <v>681</v>
      </c>
      <c r="E103" s="88" t="s">
        <v>157</v>
      </c>
      <c r="F103" s="88"/>
      <c r="G103" s="88"/>
      <c r="H103" s="41" t="s">
        <v>924</v>
      </c>
      <c r="I103" s="88" t="s">
        <v>916</v>
      </c>
      <c r="J103" s="283">
        <v>5137558</v>
      </c>
      <c r="K103" s="284">
        <f t="shared" si="10"/>
        <v>1.0394657410202235</v>
      </c>
      <c r="L103" s="285">
        <f>$X$9</f>
        <v>3.9465741020223502E-2</v>
      </c>
      <c r="M103" s="283">
        <f t="shared" si="3"/>
        <v>5340315.5335043771</v>
      </c>
      <c r="N103" s="283" t="s">
        <v>1055</v>
      </c>
      <c r="O103" s="253">
        <f t="shared" si="7"/>
        <v>5340315.5335043771</v>
      </c>
      <c r="P103" s="283" t="s">
        <v>918</v>
      </c>
      <c r="Q103" s="283">
        <f t="shared" ref="Q103:Q134" si="12">M103*1.18</f>
        <v>6301572.3295351649</v>
      </c>
      <c r="R103" s="283">
        <f t="shared" ref="R103:R134" si="13">M103*1.26</f>
        <v>6728797.5722155152</v>
      </c>
      <c r="S103" s="325">
        <v>4210100</v>
      </c>
      <c r="T103" s="325">
        <v>426235.91</v>
      </c>
    </row>
    <row r="104" spans="2:20" ht="25.5" customHeight="1" x14ac:dyDescent="0.25">
      <c r="B104" s="34">
        <v>97</v>
      </c>
      <c r="C104" s="86">
        <v>184.1</v>
      </c>
      <c r="D104" s="82" t="s">
        <v>1056</v>
      </c>
      <c r="E104" s="88" t="s">
        <v>157</v>
      </c>
      <c r="F104" s="88"/>
      <c r="G104" s="88"/>
      <c r="H104" s="41" t="s">
        <v>915</v>
      </c>
      <c r="I104" s="88" t="s">
        <v>916</v>
      </c>
      <c r="J104" s="283">
        <v>2530094.2999999998</v>
      </c>
      <c r="K104" s="284">
        <f t="shared" si="10"/>
        <v>1.0222634508348794</v>
      </c>
      <c r="L104" s="285">
        <f>$X$8</f>
        <v>2.2263450834879406E-2</v>
      </c>
      <c r="M104" s="283">
        <f t="shared" si="3"/>
        <v>2586422.9300556583</v>
      </c>
      <c r="N104" s="283" t="s">
        <v>933</v>
      </c>
      <c r="O104" s="253">
        <f t="shared" si="7"/>
        <v>2586422.9300556583</v>
      </c>
      <c r="P104" s="283" t="s">
        <v>918</v>
      </c>
      <c r="Q104" s="283">
        <f t="shared" si="12"/>
        <v>3051979.0574656767</v>
      </c>
      <c r="R104" s="283">
        <f t="shared" si="13"/>
        <v>3258892.8918701294</v>
      </c>
      <c r="S104" s="325">
        <v>2376475</v>
      </c>
      <c r="T104" s="33"/>
    </row>
    <row r="105" spans="2:20" ht="25.5" customHeight="1" x14ac:dyDescent="0.25">
      <c r="B105" s="34">
        <v>98</v>
      </c>
      <c r="C105" s="72" t="s">
        <v>678</v>
      </c>
      <c r="D105" s="82" t="s">
        <v>679</v>
      </c>
      <c r="E105" s="88" t="s">
        <v>157</v>
      </c>
      <c r="F105" s="88"/>
      <c r="G105" s="88"/>
      <c r="H105" s="41" t="s">
        <v>924</v>
      </c>
      <c r="I105" s="88" t="s">
        <v>916</v>
      </c>
      <c r="J105" s="283">
        <v>2986055</v>
      </c>
      <c r="K105" s="284">
        <f t="shared" si="10"/>
        <v>1.0394657410202235</v>
      </c>
      <c r="L105" s="285">
        <f>$X$9</f>
        <v>3.9465741020223502E-2</v>
      </c>
      <c r="M105" s="283">
        <f t="shared" si="3"/>
        <v>3103901.8733021435</v>
      </c>
      <c r="N105" s="283" t="s">
        <v>1057</v>
      </c>
      <c r="O105" s="253">
        <f t="shared" si="7"/>
        <v>3103901.8733021435</v>
      </c>
      <c r="P105" s="283" t="s">
        <v>918</v>
      </c>
      <c r="Q105" s="283">
        <f t="shared" si="12"/>
        <v>3662604.210496529</v>
      </c>
      <c r="R105" s="283">
        <f t="shared" si="13"/>
        <v>3910916.3603607011</v>
      </c>
      <c r="S105" s="325">
        <v>2376475</v>
      </c>
      <c r="T105" s="33"/>
    </row>
    <row r="106" spans="2:20" ht="25.5" customHeight="1" x14ac:dyDescent="0.25">
      <c r="B106" s="34">
        <v>99</v>
      </c>
      <c r="C106" s="72" t="s">
        <v>1058</v>
      </c>
      <c r="D106" s="82" t="s">
        <v>1059</v>
      </c>
      <c r="E106" s="88" t="s">
        <v>157</v>
      </c>
      <c r="F106" s="88"/>
      <c r="G106" s="88"/>
      <c r="H106" s="41" t="s">
        <v>924</v>
      </c>
      <c r="I106" s="88" t="s">
        <v>916</v>
      </c>
      <c r="J106" s="283">
        <v>1856190</v>
      </c>
      <c r="K106" s="284">
        <f t="shared" si="10"/>
        <v>1.0394657410202235</v>
      </c>
      <c r="L106" s="285">
        <f>$X$9</f>
        <v>3.9465741020223502E-2</v>
      </c>
      <c r="M106" s="283">
        <f t="shared" si="3"/>
        <v>1929445.9138243287</v>
      </c>
      <c r="N106" s="283" t="s">
        <v>989</v>
      </c>
      <c r="O106" s="253">
        <f t="shared" si="7"/>
        <v>1929445.9138243287</v>
      </c>
      <c r="P106" s="283" t="s">
        <v>918</v>
      </c>
      <c r="Q106" s="283">
        <f t="shared" si="12"/>
        <v>2276746.1783127077</v>
      </c>
      <c r="R106" s="283">
        <f t="shared" si="13"/>
        <v>2431101.851418654</v>
      </c>
      <c r="S106" s="33"/>
      <c r="T106" s="33"/>
    </row>
    <row r="107" spans="2:20" ht="25.5" customHeight="1" x14ac:dyDescent="0.25">
      <c r="B107" s="34">
        <v>100</v>
      </c>
      <c r="C107" s="72" t="s">
        <v>1060</v>
      </c>
      <c r="D107" s="82" t="s">
        <v>1061</v>
      </c>
      <c r="E107" s="88" t="s">
        <v>157</v>
      </c>
      <c r="F107" s="88"/>
      <c r="G107" s="88"/>
      <c r="H107" s="41" t="s">
        <v>924</v>
      </c>
      <c r="I107" s="88" t="s">
        <v>916</v>
      </c>
      <c r="J107" s="283">
        <v>2112951.6</v>
      </c>
      <c r="K107" s="284">
        <f t="shared" si="10"/>
        <v>1.0222634508348794</v>
      </c>
      <c r="L107" s="285">
        <f>$X$8</f>
        <v>2.2263450834879406E-2</v>
      </c>
      <c r="M107" s="283">
        <f t="shared" si="3"/>
        <v>2159993.1940630795</v>
      </c>
      <c r="N107" s="283" t="s">
        <v>939</v>
      </c>
      <c r="O107" s="253">
        <f t="shared" si="7"/>
        <v>2159993.1940630795</v>
      </c>
      <c r="P107" s="283" t="s">
        <v>918</v>
      </c>
      <c r="Q107" s="283">
        <f t="shared" si="12"/>
        <v>2548791.9689944335</v>
      </c>
      <c r="R107" s="283">
        <f t="shared" si="13"/>
        <v>2721591.4245194802</v>
      </c>
      <c r="S107" s="33"/>
      <c r="T107" s="33"/>
    </row>
    <row r="108" spans="2:20" ht="25.5" customHeight="1" x14ac:dyDescent="0.25">
      <c r="B108" s="34">
        <v>101</v>
      </c>
      <c r="C108" s="72" t="s">
        <v>1062</v>
      </c>
      <c r="D108" s="82" t="s">
        <v>1063</v>
      </c>
      <c r="E108" s="88" t="s">
        <v>157</v>
      </c>
      <c r="F108" s="88"/>
      <c r="G108" s="88"/>
      <c r="H108" s="41" t="s">
        <v>924</v>
      </c>
      <c r="I108" s="88" t="s">
        <v>916</v>
      </c>
      <c r="J108" s="283">
        <v>841136</v>
      </c>
      <c r="K108" s="284">
        <f t="shared" si="10"/>
        <v>1.0222634508348794</v>
      </c>
      <c r="L108" s="285">
        <f>$X$8</f>
        <v>2.2263450834879406E-2</v>
      </c>
      <c r="M108" s="283">
        <f t="shared" si="3"/>
        <v>859862.58998144709</v>
      </c>
      <c r="N108" s="283" t="s">
        <v>939</v>
      </c>
      <c r="O108" s="253">
        <f t="shared" si="7"/>
        <v>859862.58998144709</v>
      </c>
      <c r="P108" s="283" t="s">
        <v>918</v>
      </c>
      <c r="Q108" s="283">
        <f t="shared" si="12"/>
        <v>1014637.8561781076</v>
      </c>
      <c r="R108" s="283">
        <f t="shared" si="13"/>
        <v>1083426.8633766233</v>
      </c>
      <c r="S108" s="33"/>
      <c r="T108" s="33"/>
    </row>
    <row r="109" spans="2:20" ht="25.5" customHeight="1" x14ac:dyDescent="0.25">
      <c r="B109" s="34">
        <v>102</v>
      </c>
      <c r="C109" s="72" t="s">
        <v>1064</v>
      </c>
      <c r="D109" s="82" t="s">
        <v>1065</v>
      </c>
      <c r="E109" s="88" t="s">
        <v>157</v>
      </c>
      <c r="F109" s="88"/>
      <c r="G109" s="88"/>
      <c r="H109" s="41" t="s">
        <v>924</v>
      </c>
      <c r="I109" s="88" t="s">
        <v>916</v>
      </c>
      <c r="J109" s="283">
        <v>1034878</v>
      </c>
      <c r="K109" s="284">
        <f t="shared" si="10"/>
        <v>1.0222634508348794</v>
      </c>
      <c r="L109" s="285">
        <f>$X$8</f>
        <v>2.2263450834879406E-2</v>
      </c>
      <c r="M109" s="283">
        <f t="shared" si="3"/>
        <v>1057917.9554730982</v>
      </c>
      <c r="N109" s="283" t="s">
        <v>939</v>
      </c>
      <c r="O109" s="253">
        <f t="shared" si="7"/>
        <v>1057917.9554730982</v>
      </c>
      <c r="P109" s="283" t="s">
        <v>918</v>
      </c>
      <c r="Q109" s="283">
        <f t="shared" si="12"/>
        <v>1248343.1874582558</v>
      </c>
      <c r="R109" s="283">
        <f t="shared" si="13"/>
        <v>1332976.6238961038</v>
      </c>
      <c r="S109" s="33"/>
      <c r="T109" s="33"/>
    </row>
    <row r="110" spans="2:20" ht="38.25" customHeight="1" x14ac:dyDescent="0.25">
      <c r="B110" s="34">
        <v>103</v>
      </c>
      <c r="C110" s="86">
        <v>131.1</v>
      </c>
      <c r="D110" s="82" t="s">
        <v>448</v>
      </c>
      <c r="E110" s="88" t="s">
        <v>157</v>
      </c>
      <c r="F110" s="88"/>
      <c r="G110" s="88"/>
      <c r="H110" s="41" t="s">
        <v>915</v>
      </c>
      <c r="I110" s="88" t="s">
        <v>930</v>
      </c>
      <c r="J110" s="283">
        <v>16500</v>
      </c>
      <c r="K110" s="284">
        <f t="shared" si="10"/>
        <v>1.0126343788097087</v>
      </c>
      <c r="L110" s="285">
        <f>$V$8</f>
        <v>1.2634378809708687E-2</v>
      </c>
      <c r="M110" s="283">
        <f t="shared" si="3"/>
        <v>16708.467250360194</v>
      </c>
      <c r="N110" s="283" t="s">
        <v>1066</v>
      </c>
      <c r="O110" s="253">
        <f t="shared" si="7"/>
        <v>16708.467250360194</v>
      </c>
      <c r="P110" s="283" t="s">
        <v>918</v>
      </c>
      <c r="Q110" s="283">
        <f t="shared" si="12"/>
        <v>19715.991355425027</v>
      </c>
      <c r="R110" s="283">
        <f t="shared" si="13"/>
        <v>21052.668735453844</v>
      </c>
      <c r="S110" s="33"/>
      <c r="T110" s="33"/>
    </row>
    <row r="111" spans="2:20" ht="15" customHeight="1" x14ac:dyDescent="0.25">
      <c r="B111" s="34">
        <v>104</v>
      </c>
      <c r="C111" s="72">
        <v>168.1</v>
      </c>
      <c r="D111" s="82" t="s">
        <v>294</v>
      </c>
      <c r="E111" s="41" t="s">
        <v>286</v>
      </c>
      <c r="F111" s="88"/>
      <c r="G111" s="88"/>
      <c r="H111" s="41" t="s">
        <v>915</v>
      </c>
      <c r="I111" s="88" t="s">
        <v>930</v>
      </c>
      <c r="J111" s="283">
        <v>3300</v>
      </c>
      <c r="K111" s="284">
        <f t="shared" si="10"/>
        <v>1.0274373102440122</v>
      </c>
      <c r="L111" s="285">
        <f>$V$9</f>
        <v>2.7437310244012116E-2</v>
      </c>
      <c r="M111" s="283">
        <f t="shared" si="3"/>
        <v>3390.5431238052402</v>
      </c>
      <c r="N111" s="283" t="s">
        <v>936</v>
      </c>
      <c r="O111" s="253">
        <f t="shared" si="7"/>
        <v>3390.5431238052402</v>
      </c>
      <c r="P111" s="283" t="s">
        <v>918</v>
      </c>
      <c r="Q111" s="283">
        <f t="shared" si="12"/>
        <v>4000.8408860901832</v>
      </c>
      <c r="R111" s="283">
        <f t="shared" si="13"/>
        <v>4272.084335994603</v>
      </c>
      <c r="S111" s="33"/>
      <c r="T111" s="33"/>
    </row>
    <row r="112" spans="2:20" ht="15" customHeight="1" x14ac:dyDescent="0.25">
      <c r="B112" s="34">
        <v>105</v>
      </c>
      <c r="C112" s="86">
        <v>81.099999999999994</v>
      </c>
      <c r="D112" s="82" t="s">
        <v>1067</v>
      </c>
      <c r="E112" s="88" t="s">
        <v>158</v>
      </c>
      <c r="F112" s="88"/>
      <c r="G112" s="88"/>
      <c r="H112" s="41" t="s">
        <v>915</v>
      </c>
      <c r="I112" s="88" t="s">
        <v>930</v>
      </c>
      <c r="J112" s="283">
        <v>7714.333333333333</v>
      </c>
      <c r="K112" s="284">
        <f t="shared" si="10"/>
        <v>1.0126343788097087</v>
      </c>
      <c r="L112" s="285">
        <f>$V$8</f>
        <v>1.2634378809708687E-2</v>
      </c>
      <c r="M112" s="283">
        <f t="shared" si="3"/>
        <v>7811.7991429310296</v>
      </c>
      <c r="N112" s="283" t="s">
        <v>978</v>
      </c>
      <c r="O112" s="253">
        <f t="shared" si="7"/>
        <v>7811.7991429310296</v>
      </c>
      <c r="P112" s="283" t="s">
        <v>918</v>
      </c>
      <c r="Q112" s="283">
        <f t="shared" si="12"/>
        <v>9217.9229886586145</v>
      </c>
      <c r="R112" s="283">
        <f t="shared" si="13"/>
        <v>9842.8669200930981</v>
      </c>
      <c r="S112" s="33"/>
      <c r="T112" s="33"/>
    </row>
    <row r="113" spans="2:20" ht="15" customHeight="1" x14ac:dyDescent="0.25">
      <c r="B113" s="34">
        <v>106</v>
      </c>
      <c r="C113" s="86">
        <v>82.1</v>
      </c>
      <c r="D113" s="82" t="s">
        <v>568</v>
      </c>
      <c r="E113" s="88" t="s">
        <v>158</v>
      </c>
      <c r="F113" s="88"/>
      <c r="G113" s="88"/>
      <c r="H113" s="41" t="s">
        <v>915</v>
      </c>
      <c r="I113" s="88" t="s">
        <v>930</v>
      </c>
      <c r="J113" s="283">
        <v>3413</v>
      </c>
      <c r="K113" s="284">
        <f t="shared" si="10"/>
        <v>1.0126343788097087</v>
      </c>
      <c r="L113" s="285">
        <f>$V$8</f>
        <v>1.2634378809708687E-2</v>
      </c>
      <c r="M113" s="283">
        <f t="shared" si="3"/>
        <v>3456.121134877536</v>
      </c>
      <c r="N113" s="283" t="s">
        <v>978</v>
      </c>
      <c r="O113" s="253">
        <f t="shared" si="7"/>
        <v>3456.121134877536</v>
      </c>
      <c r="P113" s="283" t="s">
        <v>918</v>
      </c>
      <c r="Q113" s="283">
        <f t="shared" si="12"/>
        <v>4078.222939155492</v>
      </c>
      <c r="R113" s="283">
        <f t="shared" si="13"/>
        <v>4354.712629945695</v>
      </c>
      <c r="S113" s="33"/>
      <c r="T113" s="33"/>
    </row>
    <row r="114" spans="2:20" ht="63.75" x14ac:dyDescent="0.25">
      <c r="B114" s="34">
        <v>107</v>
      </c>
      <c r="C114" s="86">
        <v>192.1</v>
      </c>
      <c r="D114" s="82" t="s">
        <v>1068</v>
      </c>
      <c r="E114" s="88" t="s">
        <v>158</v>
      </c>
      <c r="F114" s="88"/>
      <c r="G114" s="88"/>
      <c r="H114" s="41" t="s">
        <v>915</v>
      </c>
      <c r="I114" s="88" t="s">
        <v>916</v>
      </c>
      <c r="J114" s="283">
        <v>426235.91</v>
      </c>
      <c r="K114" s="284">
        <f>(1+L114)</f>
        <v>1.0267365704887732</v>
      </c>
      <c r="L114" s="285">
        <f>$L$3</f>
        <v>2.6736570488773183E-2</v>
      </c>
      <c r="M114" s="283">
        <f>J114*K114</f>
        <v>437631.99645256135</v>
      </c>
      <c r="N114" s="283" t="s">
        <v>933</v>
      </c>
      <c r="O114" s="253">
        <f t="shared" si="7"/>
        <v>437631.99645256135</v>
      </c>
      <c r="P114" s="283" t="s">
        <v>918</v>
      </c>
      <c r="Q114" s="283">
        <f t="shared" si="12"/>
        <v>516405.75581402238</v>
      </c>
      <c r="R114" s="283">
        <f t="shared" si="13"/>
        <v>551416.31553022726</v>
      </c>
      <c r="S114" s="33"/>
      <c r="T114" s="33"/>
    </row>
    <row r="115" spans="2:20" customFormat="1" ht="25.5" x14ac:dyDescent="0.25">
      <c r="B115" s="34">
        <v>108</v>
      </c>
      <c r="C115" s="86">
        <v>192.3</v>
      </c>
      <c r="D115" s="57" t="s">
        <v>845</v>
      </c>
      <c r="E115" s="89" t="s">
        <v>158</v>
      </c>
      <c r="F115" s="88"/>
      <c r="G115" s="88"/>
      <c r="H115" s="41" t="s">
        <v>924</v>
      </c>
      <c r="I115" s="299" t="s">
        <v>916</v>
      </c>
      <c r="J115" s="283">
        <v>405708</v>
      </c>
      <c r="K115" s="284">
        <f>(1+L115)</f>
        <v>1.0657773317498953</v>
      </c>
      <c r="L115" s="285">
        <f>$L$2</f>
        <v>6.5777331749895404E-2</v>
      </c>
      <c r="M115" s="283">
        <f>J115*K115</f>
        <v>432394.38970958651</v>
      </c>
      <c r="N115" s="283" t="s">
        <v>1057</v>
      </c>
      <c r="O115" s="253">
        <f t="shared" si="7"/>
        <v>432394.38970958651</v>
      </c>
      <c r="P115" s="283" t="s">
        <v>918</v>
      </c>
      <c r="Q115" s="283">
        <f t="shared" si="12"/>
        <v>510225.37985731207</v>
      </c>
      <c r="R115" s="283">
        <f t="shared" si="13"/>
        <v>544816.93103407905</v>
      </c>
      <c r="S115" s="33"/>
      <c r="T115" s="33">
        <f>COUNT(#REF!)</f>
        <v>0</v>
      </c>
    </row>
    <row r="116" spans="2:20" customFormat="1" ht="25.5" x14ac:dyDescent="0.25">
      <c r="B116" s="34">
        <v>109</v>
      </c>
      <c r="C116" s="84" t="s">
        <v>1069</v>
      </c>
      <c r="D116" s="82" t="s">
        <v>1070</v>
      </c>
      <c r="E116" s="41" t="s">
        <v>157</v>
      </c>
      <c r="F116" s="88"/>
      <c r="G116" s="88"/>
      <c r="H116" s="41" t="s">
        <v>924</v>
      </c>
      <c r="I116" s="252" t="s">
        <v>916</v>
      </c>
      <c r="J116" s="283">
        <v>212000</v>
      </c>
      <c r="K116" s="284">
        <f>(1+L116)</f>
        <v>1</v>
      </c>
      <c r="L116" s="285">
        <v>0</v>
      </c>
      <c r="M116" s="283">
        <f>J116*K116</f>
        <v>212000</v>
      </c>
      <c r="N116" s="88" t="s">
        <v>1071</v>
      </c>
      <c r="O116" s="253">
        <f t="shared" si="7"/>
        <v>212000</v>
      </c>
      <c r="P116" s="283" t="s">
        <v>918</v>
      </c>
      <c r="Q116" s="283">
        <f t="shared" si="12"/>
        <v>250160</v>
      </c>
      <c r="R116" s="283">
        <f t="shared" si="13"/>
        <v>267120</v>
      </c>
      <c r="S116" s="33"/>
      <c r="T116" s="33">
        <f>COUNT(#REF!)</f>
        <v>0</v>
      </c>
    </row>
    <row r="117" spans="2:20" customFormat="1" ht="25.5" x14ac:dyDescent="0.25">
      <c r="B117" s="34">
        <v>110</v>
      </c>
      <c r="C117" s="84" t="s">
        <v>1072</v>
      </c>
      <c r="D117" s="163" t="s">
        <v>1073</v>
      </c>
      <c r="E117" s="104" t="s">
        <v>157</v>
      </c>
      <c r="F117" s="88"/>
      <c r="G117" s="88"/>
      <c r="H117" s="41" t="s">
        <v>924</v>
      </c>
      <c r="I117" s="104" t="s">
        <v>916</v>
      </c>
      <c r="J117" s="283">
        <v>53516.51</v>
      </c>
      <c r="K117" s="284">
        <f t="shared" si="10"/>
        <v>1.0267365704887732</v>
      </c>
      <c r="L117" s="285">
        <f>$L$3</f>
        <v>2.6736570488773183E-2</v>
      </c>
      <c r="M117" s="283">
        <f t="shared" si="3"/>
        <v>54947.357941928138</v>
      </c>
      <c r="N117" s="89" t="s">
        <v>1047</v>
      </c>
      <c r="O117" s="253">
        <f t="shared" si="7"/>
        <v>54947.357941928138</v>
      </c>
      <c r="P117" s="283" t="s">
        <v>918</v>
      </c>
      <c r="Q117" s="283">
        <f t="shared" si="12"/>
        <v>64837.8823714752</v>
      </c>
      <c r="R117" s="283">
        <f t="shared" si="13"/>
        <v>69233.671006829449</v>
      </c>
      <c r="S117" s="259"/>
      <c r="T117" s="259">
        <f>COUNT(#REF!)</f>
        <v>0</v>
      </c>
    </row>
    <row r="118" spans="2:20" customFormat="1" ht="25.5" x14ac:dyDescent="0.25">
      <c r="B118" s="34">
        <v>111</v>
      </c>
      <c r="C118" s="84" t="s">
        <v>1074</v>
      </c>
      <c r="D118" s="163" t="s">
        <v>1075</v>
      </c>
      <c r="E118" s="104" t="s">
        <v>157</v>
      </c>
      <c r="F118" s="88"/>
      <c r="G118" s="88"/>
      <c r="H118" s="41" t="s">
        <v>924</v>
      </c>
      <c r="I118" s="104" t="s">
        <v>916</v>
      </c>
      <c r="J118" s="283">
        <v>49087.55</v>
      </c>
      <c r="K118" s="284">
        <f t="shared" si="10"/>
        <v>1.0267365704887732</v>
      </c>
      <c r="L118" s="285">
        <f>$L$3</f>
        <v>2.6736570488773183E-2</v>
      </c>
      <c r="M118" s="283">
        <f t="shared" si="3"/>
        <v>50399.982740696185</v>
      </c>
      <c r="N118" s="89" t="s">
        <v>1047</v>
      </c>
      <c r="O118" s="253">
        <f t="shared" si="7"/>
        <v>50399.982740696185</v>
      </c>
      <c r="P118" s="283" t="s">
        <v>918</v>
      </c>
      <c r="Q118" s="283">
        <f t="shared" si="12"/>
        <v>59471.979634021496</v>
      </c>
      <c r="R118" s="283">
        <f t="shared" si="13"/>
        <v>63503.978253277193</v>
      </c>
      <c r="S118" s="259"/>
      <c r="T118" s="259">
        <f>COUNT(#REF!)</f>
        <v>0</v>
      </c>
    </row>
    <row r="119" spans="2:20" ht="63.75" x14ac:dyDescent="0.25">
      <c r="B119" s="34">
        <v>112</v>
      </c>
      <c r="C119" s="86">
        <v>193.1</v>
      </c>
      <c r="D119" s="82" t="s">
        <v>685</v>
      </c>
      <c r="E119" s="88" t="s">
        <v>158</v>
      </c>
      <c r="F119" s="88"/>
      <c r="G119" s="88"/>
      <c r="H119" s="41" t="s">
        <v>915</v>
      </c>
      <c r="I119" s="88" t="s">
        <v>916</v>
      </c>
      <c r="J119" s="283">
        <v>259279.52</v>
      </c>
      <c r="K119" s="284">
        <f t="shared" si="10"/>
        <v>1.0267365704887732</v>
      </c>
      <c r="L119" s="285">
        <f>$L$3</f>
        <v>2.6736570488773183E-2</v>
      </c>
      <c r="M119" s="283">
        <f t="shared" si="3"/>
        <v>266211.76516277529</v>
      </c>
      <c r="N119" s="283" t="s">
        <v>933</v>
      </c>
      <c r="O119" s="253">
        <f t="shared" si="7"/>
        <v>266211.76516277529</v>
      </c>
      <c r="P119" s="283" t="s">
        <v>918</v>
      </c>
      <c r="Q119" s="283">
        <f t="shared" si="12"/>
        <v>314129.88289207482</v>
      </c>
      <c r="R119" s="283">
        <f t="shared" si="13"/>
        <v>335426.82410509686</v>
      </c>
      <c r="S119" s="325">
        <v>2548436.1</v>
      </c>
      <c r="T119" s="33"/>
    </row>
    <row r="120" spans="2:20" customFormat="1" ht="51" x14ac:dyDescent="0.25">
      <c r="B120" s="34">
        <v>113</v>
      </c>
      <c r="C120" s="84" t="s">
        <v>1076</v>
      </c>
      <c r="D120" s="82" t="s">
        <v>1077</v>
      </c>
      <c r="E120" s="41" t="s">
        <v>157</v>
      </c>
      <c r="F120" s="88"/>
      <c r="G120" s="88"/>
      <c r="H120" s="41" t="s">
        <v>924</v>
      </c>
      <c r="I120" s="252" t="s">
        <v>916</v>
      </c>
      <c r="J120" s="283">
        <v>320760</v>
      </c>
      <c r="K120" s="284">
        <f t="shared" si="10"/>
        <v>1</v>
      </c>
      <c r="L120" s="285">
        <v>0</v>
      </c>
      <c r="M120" s="283">
        <f t="shared" si="3"/>
        <v>320760</v>
      </c>
      <c r="N120" s="283" t="s">
        <v>925</v>
      </c>
      <c r="O120" s="253">
        <f t="shared" si="7"/>
        <v>320760</v>
      </c>
      <c r="P120" s="283" t="s">
        <v>918</v>
      </c>
      <c r="Q120" s="283">
        <f t="shared" si="12"/>
        <v>378496.8</v>
      </c>
      <c r="R120" s="283">
        <f t="shared" si="13"/>
        <v>404157.6</v>
      </c>
      <c r="S120" s="33"/>
      <c r="T120" s="33">
        <f>COUNT(#REF!)</f>
        <v>0</v>
      </c>
    </row>
    <row r="121" spans="2:20" customFormat="1" ht="51" x14ac:dyDescent="0.25">
      <c r="B121" s="34">
        <v>114</v>
      </c>
      <c r="C121" s="84" t="s">
        <v>1078</v>
      </c>
      <c r="D121" s="82" t="s">
        <v>1079</v>
      </c>
      <c r="E121" s="41" t="s">
        <v>157</v>
      </c>
      <c r="F121" s="88"/>
      <c r="G121" s="88"/>
      <c r="H121" s="41" t="s">
        <v>924</v>
      </c>
      <c r="I121" s="252" t="s">
        <v>916</v>
      </c>
      <c r="J121" s="283">
        <v>248028</v>
      </c>
      <c r="K121" s="284">
        <f t="shared" si="10"/>
        <v>1</v>
      </c>
      <c r="L121" s="285">
        <v>0</v>
      </c>
      <c r="M121" s="283">
        <f t="shared" si="3"/>
        <v>248028</v>
      </c>
      <c r="N121" s="283" t="s">
        <v>939</v>
      </c>
      <c r="O121" s="253">
        <f t="shared" si="7"/>
        <v>248028</v>
      </c>
      <c r="P121" s="283" t="s">
        <v>918</v>
      </c>
      <c r="Q121" s="283">
        <f t="shared" si="12"/>
        <v>292673.03999999998</v>
      </c>
      <c r="R121" s="283">
        <f t="shared" si="13"/>
        <v>312515.28000000003</v>
      </c>
      <c r="S121" s="33"/>
      <c r="T121" s="33">
        <f>COUNT(#REF!)</f>
        <v>0</v>
      </c>
    </row>
    <row r="122" spans="2:20" customFormat="1" ht="63.75" x14ac:dyDescent="0.25">
      <c r="B122" s="34">
        <v>115</v>
      </c>
      <c r="C122" s="84" t="s">
        <v>1080</v>
      </c>
      <c r="D122" s="82" t="s">
        <v>1081</v>
      </c>
      <c r="E122" s="41" t="s">
        <v>157</v>
      </c>
      <c r="F122" s="88"/>
      <c r="G122" s="88"/>
      <c r="H122" s="41" t="s">
        <v>924</v>
      </c>
      <c r="I122" s="252" t="s">
        <v>916</v>
      </c>
      <c r="J122" s="283">
        <v>220000</v>
      </c>
      <c r="K122" s="284">
        <f t="shared" si="10"/>
        <v>1</v>
      </c>
      <c r="L122" s="285">
        <v>0</v>
      </c>
      <c r="M122" s="283">
        <f t="shared" si="3"/>
        <v>220000</v>
      </c>
      <c r="N122" s="88" t="s">
        <v>1071</v>
      </c>
      <c r="O122" s="253">
        <f t="shared" si="7"/>
        <v>220000</v>
      </c>
      <c r="P122" s="283" t="s">
        <v>918</v>
      </c>
      <c r="Q122" s="283">
        <f t="shared" si="12"/>
        <v>259600</v>
      </c>
      <c r="R122" s="283">
        <f t="shared" si="13"/>
        <v>277200</v>
      </c>
      <c r="S122" s="33"/>
      <c r="T122" s="33">
        <f>COUNT(#REF!)</f>
        <v>0</v>
      </c>
    </row>
    <row r="123" spans="2:20" customFormat="1" ht="25.5" x14ac:dyDescent="0.25">
      <c r="B123" s="34">
        <v>116</v>
      </c>
      <c r="C123" s="84" t="s">
        <v>1082</v>
      </c>
      <c r="D123" s="163" t="s">
        <v>1083</v>
      </c>
      <c r="E123" s="104" t="s">
        <v>157</v>
      </c>
      <c r="F123" s="88"/>
      <c r="G123" s="88"/>
      <c r="H123" s="41" t="s">
        <v>924</v>
      </c>
      <c r="I123" s="104" t="s">
        <v>916</v>
      </c>
      <c r="J123" s="283">
        <v>49087.55</v>
      </c>
      <c r="K123" s="284">
        <f t="shared" si="10"/>
        <v>1.0267365704887732</v>
      </c>
      <c r="L123" s="285">
        <f>$L$3</f>
        <v>2.6736570488773183E-2</v>
      </c>
      <c r="M123" s="283">
        <f t="shared" ref="M123:M180" si="14">J123*K123</f>
        <v>50399.982740696185</v>
      </c>
      <c r="N123" s="89" t="s">
        <v>1084</v>
      </c>
      <c r="O123" s="253">
        <f t="shared" si="7"/>
        <v>50399.982740696185</v>
      </c>
      <c r="P123" s="283" t="s">
        <v>918</v>
      </c>
      <c r="Q123" s="283">
        <f t="shared" si="12"/>
        <v>59471.979634021496</v>
      </c>
      <c r="R123" s="283">
        <f t="shared" si="13"/>
        <v>63503.978253277193</v>
      </c>
      <c r="S123" s="33"/>
      <c r="T123" s="33">
        <f>COUNT(#REF!)</f>
        <v>0</v>
      </c>
    </row>
    <row r="124" spans="2:20" customFormat="1" ht="25.5" x14ac:dyDescent="0.25">
      <c r="B124" s="34">
        <v>117</v>
      </c>
      <c r="C124" s="84" t="s">
        <v>1085</v>
      </c>
      <c r="D124" s="163" t="s">
        <v>1086</v>
      </c>
      <c r="E124" s="104" t="s">
        <v>157</v>
      </c>
      <c r="F124" s="88"/>
      <c r="G124" s="88"/>
      <c r="H124" s="41" t="s">
        <v>924</v>
      </c>
      <c r="I124" s="104" t="s">
        <v>916</v>
      </c>
      <c r="J124" s="283">
        <v>50440.85</v>
      </c>
      <c r="K124" s="284">
        <f t="shared" si="10"/>
        <v>1.0267365704887732</v>
      </c>
      <c r="L124" s="285">
        <f>$L$3</f>
        <v>2.6736570488773183E-2</v>
      </c>
      <c r="M124" s="283">
        <f t="shared" si="14"/>
        <v>51789.465341538635</v>
      </c>
      <c r="N124" s="89" t="s">
        <v>1084</v>
      </c>
      <c r="O124" s="253">
        <f t="shared" si="7"/>
        <v>51789.465341538635</v>
      </c>
      <c r="P124" s="283" t="s">
        <v>918</v>
      </c>
      <c r="Q124" s="283">
        <f t="shared" si="12"/>
        <v>61111.569103015587</v>
      </c>
      <c r="R124" s="283">
        <f t="shared" si="13"/>
        <v>65254.726330338679</v>
      </c>
      <c r="S124" s="33"/>
      <c r="T124" s="33">
        <f>COUNT(#REF!)</f>
        <v>0</v>
      </c>
    </row>
    <row r="125" spans="2:20" ht="15" customHeight="1" x14ac:dyDescent="0.25">
      <c r="B125" s="34">
        <v>118</v>
      </c>
      <c r="C125" s="86">
        <v>76.099999999999994</v>
      </c>
      <c r="D125" s="82" t="s">
        <v>288</v>
      </c>
      <c r="E125" s="88" t="s">
        <v>158</v>
      </c>
      <c r="F125" s="88"/>
      <c r="G125" s="88"/>
      <c r="H125" s="41" t="s">
        <v>915</v>
      </c>
      <c r="I125" s="88" t="s">
        <v>930</v>
      </c>
      <c r="J125" s="283">
        <v>110000</v>
      </c>
      <c r="K125" s="284">
        <f t="shared" si="10"/>
        <v>1.0657773317498953</v>
      </c>
      <c r="L125" s="285">
        <f>$L$2</f>
        <v>6.5777331749895404E-2</v>
      </c>
      <c r="M125" s="283">
        <f t="shared" si="14"/>
        <v>117235.50649248848</v>
      </c>
      <c r="N125" s="283" t="s">
        <v>936</v>
      </c>
      <c r="O125" s="253">
        <f t="shared" si="7"/>
        <v>117235.50649248848</v>
      </c>
      <c r="P125" s="283" t="s">
        <v>918</v>
      </c>
      <c r="Q125" s="283">
        <f t="shared" si="12"/>
        <v>138337.89766113641</v>
      </c>
      <c r="R125" s="283">
        <f t="shared" si="13"/>
        <v>147716.7381805355</v>
      </c>
      <c r="S125" s="33"/>
      <c r="T125" s="33"/>
    </row>
    <row r="126" spans="2:20" ht="15" customHeight="1" x14ac:dyDescent="0.25">
      <c r="B126" s="34">
        <v>119</v>
      </c>
      <c r="C126" s="86">
        <v>77.099999999999994</v>
      </c>
      <c r="D126" s="82" t="s">
        <v>289</v>
      </c>
      <c r="E126" s="88" t="s">
        <v>158</v>
      </c>
      <c r="F126" s="88"/>
      <c r="G126" s="88"/>
      <c r="H126" s="41" t="s">
        <v>915</v>
      </c>
      <c r="I126" s="88" t="s">
        <v>930</v>
      </c>
      <c r="J126" s="283">
        <v>45000</v>
      </c>
      <c r="K126" s="284">
        <f t="shared" si="10"/>
        <v>1.0657773317498953</v>
      </c>
      <c r="L126" s="285">
        <f>$L$2</f>
        <v>6.5777331749895404E-2</v>
      </c>
      <c r="M126" s="283">
        <f t="shared" si="14"/>
        <v>47959.979928745292</v>
      </c>
      <c r="N126" s="283" t="s">
        <v>936</v>
      </c>
      <c r="O126" s="253">
        <f t="shared" si="7"/>
        <v>47959.979928745292</v>
      </c>
      <c r="P126" s="283" t="s">
        <v>918</v>
      </c>
      <c r="Q126" s="283">
        <f t="shared" si="12"/>
        <v>56592.776315919444</v>
      </c>
      <c r="R126" s="283">
        <f t="shared" si="13"/>
        <v>60429.574710219065</v>
      </c>
      <c r="S126" s="33"/>
      <c r="T126" s="33"/>
    </row>
    <row r="127" spans="2:20" ht="15" customHeight="1" x14ac:dyDescent="0.25">
      <c r="B127" s="34">
        <v>120</v>
      </c>
      <c r="C127" s="86">
        <v>139.1</v>
      </c>
      <c r="D127" s="82" t="s">
        <v>1087</v>
      </c>
      <c r="E127" s="88" t="s">
        <v>222</v>
      </c>
      <c r="F127" s="88"/>
      <c r="G127" s="88"/>
      <c r="H127" s="41" t="s">
        <v>915</v>
      </c>
      <c r="I127" s="88" t="s">
        <v>930</v>
      </c>
      <c r="J127" s="283">
        <v>74</v>
      </c>
      <c r="K127" s="284">
        <f t="shared" si="10"/>
        <v>1.0274373102440122</v>
      </c>
      <c r="L127" s="285">
        <f>$V$9</f>
        <v>2.7437310244012116E-2</v>
      </c>
      <c r="M127" s="283">
        <f t="shared" si="14"/>
        <v>76.030360958056903</v>
      </c>
      <c r="N127" s="283" t="s">
        <v>936</v>
      </c>
      <c r="O127" s="253">
        <f t="shared" si="7"/>
        <v>76.030360958056903</v>
      </c>
      <c r="P127" s="283" t="s">
        <v>918</v>
      </c>
      <c r="Q127" s="283">
        <f t="shared" si="12"/>
        <v>89.715825930507137</v>
      </c>
      <c r="R127" s="283">
        <f t="shared" si="13"/>
        <v>95.798254807151693</v>
      </c>
      <c r="S127" s="33"/>
      <c r="T127" s="33"/>
    </row>
    <row r="128" spans="2:20" ht="15" customHeight="1" x14ac:dyDescent="0.25">
      <c r="B128" s="34">
        <v>121</v>
      </c>
      <c r="C128" s="86">
        <v>64.099999999999994</v>
      </c>
      <c r="D128" s="82" t="s">
        <v>291</v>
      </c>
      <c r="E128" s="88" t="s">
        <v>157</v>
      </c>
      <c r="F128" s="88"/>
      <c r="G128" s="88"/>
      <c r="H128" s="41" t="s">
        <v>915</v>
      </c>
      <c r="I128" s="88" t="s">
        <v>930</v>
      </c>
      <c r="J128" s="283">
        <v>2750</v>
      </c>
      <c r="K128" s="284">
        <f t="shared" si="10"/>
        <v>1.0657773317498953</v>
      </c>
      <c r="L128" s="285">
        <f>$L$2</f>
        <v>6.5777331749895404E-2</v>
      </c>
      <c r="M128" s="283">
        <f t="shared" si="14"/>
        <v>2930.8876623122119</v>
      </c>
      <c r="N128" s="283" t="s">
        <v>936</v>
      </c>
      <c r="O128" s="253">
        <f t="shared" si="7"/>
        <v>2930.8876623122119</v>
      </c>
      <c r="P128" s="283" t="s">
        <v>918</v>
      </c>
      <c r="Q128" s="283">
        <f t="shared" si="12"/>
        <v>3458.4474415284099</v>
      </c>
      <c r="R128" s="283">
        <f t="shared" si="13"/>
        <v>3692.9184545133871</v>
      </c>
      <c r="S128" s="33"/>
      <c r="T128" s="33"/>
    </row>
    <row r="129" spans="2:20" ht="15" customHeight="1" x14ac:dyDescent="0.25">
      <c r="B129" s="34">
        <v>122</v>
      </c>
      <c r="C129" s="86">
        <v>162.1</v>
      </c>
      <c r="D129" s="82" t="s">
        <v>285</v>
      </c>
      <c r="E129" s="88" t="s">
        <v>286</v>
      </c>
      <c r="F129" s="88"/>
      <c r="G129" s="88"/>
      <c r="H129" s="41" t="s">
        <v>915</v>
      </c>
      <c r="I129" s="88" t="s">
        <v>930</v>
      </c>
      <c r="J129" s="283">
        <v>455</v>
      </c>
      <c r="K129" s="284">
        <f t="shared" si="10"/>
        <v>1.0441014332965821</v>
      </c>
      <c r="L129" s="285">
        <f>$U$9</f>
        <v>4.4101433296582136E-2</v>
      </c>
      <c r="M129" s="283">
        <f t="shared" si="14"/>
        <v>475.06615214994486</v>
      </c>
      <c r="N129" s="283" t="s">
        <v>936</v>
      </c>
      <c r="O129" s="253">
        <f t="shared" si="7"/>
        <v>475.06615214994486</v>
      </c>
      <c r="P129" s="283" t="s">
        <v>918</v>
      </c>
      <c r="Q129" s="283">
        <f t="shared" si="12"/>
        <v>560.57805953693492</v>
      </c>
      <c r="R129" s="283">
        <f t="shared" si="13"/>
        <v>598.58335170893054</v>
      </c>
      <c r="S129" s="33"/>
      <c r="T129" s="33"/>
    </row>
    <row r="130" spans="2:20" ht="15" customHeight="1" x14ac:dyDescent="0.25">
      <c r="B130" s="34">
        <v>123</v>
      </c>
      <c r="C130" s="86">
        <v>125.1</v>
      </c>
      <c r="D130" s="82" t="s">
        <v>287</v>
      </c>
      <c r="E130" s="88" t="s">
        <v>157</v>
      </c>
      <c r="F130" s="88"/>
      <c r="G130" s="88"/>
      <c r="H130" s="41" t="s">
        <v>915</v>
      </c>
      <c r="I130" s="88" t="s">
        <v>930</v>
      </c>
      <c r="J130" s="283">
        <v>160</v>
      </c>
      <c r="K130" s="284">
        <f t="shared" si="10"/>
        <v>1.0441014332965821</v>
      </c>
      <c r="L130" s="285">
        <f>$U$9</f>
        <v>4.4101433296582136E-2</v>
      </c>
      <c r="M130" s="283">
        <f t="shared" si="14"/>
        <v>167.05622932745314</v>
      </c>
      <c r="N130" s="283" t="s">
        <v>936</v>
      </c>
      <c r="O130" s="253">
        <f t="shared" si="7"/>
        <v>167.05622932745314</v>
      </c>
      <c r="P130" s="283" t="s">
        <v>918</v>
      </c>
      <c r="Q130" s="283">
        <f t="shared" si="12"/>
        <v>197.12635060639468</v>
      </c>
      <c r="R130" s="283">
        <f t="shared" si="13"/>
        <v>210.49084895259097</v>
      </c>
      <c r="S130" s="33"/>
      <c r="T130" s="33"/>
    </row>
    <row r="131" spans="2:20" ht="15" customHeight="1" x14ac:dyDescent="0.25">
      <c r="B131" s="34">
        <v>124</v>
      </c>
      <c r="C131" s="86">
        <v>65.099999999999994</v>
      </c>
      <c r="D131" s="82" t="s">
        <v>1088</v>
      </c>
      <c r="E131" s="88" t="s">
        <v>157</v>
      </c>
      <c r="F131" s="88"/>
      <c r="G131" s="88"/>
      <c r="H131" s="41" t="s">
        <v>915</v>
      </c>
      <c r="I131" s="88" t="s">
        <v>930</v>
      </c>
      <c r="J131" s="283">
        <v>220</v>
      </c>
      <c r="K131" s="284">
        <f t="shared" si="10"/>
        <v>1.0126343788097087</v>
      </c>
      <c r="L131" s="285">
        <f t="shared" ref="L131:L137" si="15">$V$8</f>
        <v>1.2634378809708687E-2</v>
      </c>
      <c r="M131" s="283">
        <f t="shared" si="14"/>
        <v>222.77956333813592</v>
      </c>
      <c r="N131" s="283" t="s">
        <v>961</v>
      </c>
      <c r="O131" s="253">
        <f t="shared" si="7"/>
        <v>222.77956333813592</v>
      </c>
      <c r="P131" s="283" t="s">
        <v>918</v>
      </c>
      <c r="Q131" s="283">
        <f t="shared" si="12"/>
        <v>262.87988473900037</v>
      </c>
      <c r="R131" s="283">
        <f t="shared" si="13"/>
        <v>280.70224980605127</v>
      </c>
      <c r="S131" s="33"/>
      <c r="T131" s="33"/>
    </row>
    <row r="132" spans="2:20" ht="15" customHeight="1" x14ac:dyDescent="0.25">
      <c r="B132" s="34">
        <v>125</v>
      </c>
      <c r="C132" s="86">
        <v>66.099999999999994</v>
      </c>
      <c r="D132" s="82" t="s">
        <v>1089</v>
      </c>
      <c r="E132" s="88" t="s">
        <v>157</v>
      </c>
      <c r="F132" s="88"/>
      <c r="G132" s="88"/>
      <c r="H132" s="41" t="s">
        <v>915</v>
      </c>
      <c r="I132" s="88" t="s">
        <v>930</v>
      </c>
      <c r="J132" s="283">
        <v>227.25</v>
      </c>
      <c r="K132" s="284">
        <f t="shared" si="10"/>
        <v>1.0126343788097087</v>
      </c>
      <c r="L132" s="285">
        <f t="shared" si="15"/>
        <v>1.2634378809708687E-2</v>
      </c>
      <c r="M132" s="283">
        <f t="shared" si="14"/>
        <v>230.12116258450632</v>
      </c>
      <c r="N132" s="283" t="s">
        <v>961</v>
      </c>
      <c r="O132" s="253">
        <f t="shared" si="7"/>
        <v>230.12116258450632</v>
      </c>
      <c r="P132" s="283" t="s">
        <v>918</v>
      </c>
      <c r="Q132" s="283">
        <f t="shared" si="12"/>
        <v>271.54297184971745</v>
      </c>
      <c r="R132" s="283">
        <f t="shared" si="13"/>
        <v>289.95266485647795</v>
      </c>
      <c r="S132" s="33"/>
      <c r="T132" s="33"/>
    </row>
    <row r="133" spans="2:20" ht="15" customHeight="1" x14ac:dyDescent="0.25">
      <c r="B133" s="34">
        <v>126</v>
      </c>
      <c r="C133" s="86">
        <v>67.099999999999994</v>
      </c>
      <c r="D133" s="82" t="s">
        <v>1090</v>
      </c>
      <c r="E133" s="88" t="s">
        <v>157</v>
      </c>
      <c r="F133" s="88"/>
      <c r="G133" s="88"/>
      <c r="H133" s="41" t="s">
        <v>915</v>
      </c>
      <c r="I133" s="88" t="s">
        <v>930</v>
      </c>
      <c r="J133" s="283">
        <v>212.75</v>
      </c>
      <c r="K133" s="284">
        <f t="shared" si="10"/>
        <v>1.0126343788097087</v>
      </c>
      <c r="L133" s="285">
        <f t="shared" si="15"/>
        <v>1.2634378809708687E-2</v>
      </c>
      <c r="M133" s="283">
        <f t="shared" si="14"/>
        <v>215.43796409176554</v>
      </c>
      <c r="N133" s="283" t="s">
        <v>961</v>
      </c>
      <c r="O133" s="253">
        <f t="shared" si="7"/>
        <v>215.43796409176554</v>
      </c>
      <c r="P133" s="283" t="s">
        <v>918</v>
      </c>
      <c r="Q133" s="283">
        <f t="shared" si="12"/>
        <v>254.21679762828333</v>
      </c>
      <c r="R133" s="283">
        <f t="shared" si="13"/>
        <v>271.45183475562459</v>
      </c>
      <c r="S133" s="33"/>
      <c r="T133" s="33"/>
    </row>
    <row r="134" spans="2:20" ht="15" customHeight="1" x14ac:dyDescent="0.25">
      <c r="B134" s="34">
        <v>127</v>
      </c>
      <c r="C134" s="86">
        <v>68.099999999999994</v>
      </c>
      <c r="D134" s="82" t="s">
        <v>1091</v>
      </c>
      <c r="E134" s="88" t="s">
        <v>157</v>
      </c>
      <c r="F134" s="88"/>
      <c r="G134" s="88"/>
      <c r="H134" s="41" t="s">
        <v>915</v>
      </c>
      <c r="I134" s="88" t="s">
        <v>930</v>
      </c>
      <c r="J134" s="283">
        <v>225.4</v>
      </c>
      <c r="K134" s="284">
        <f t="shared" si="10"/>
        <v>1.0126343788097087</v>
      </c>
      <c r="L134" s="285">
        <f t="shared" si="15"/>
        <v>1.2634378809708687E-2</v>
      </c>
      <c r="M134" s="283">
        <f t="shared" si="14"/>
        <v>228.24778898370835</v>
      </c>
      <c r="N134" s="283" t="s">
        <v>955</v>
      </c>
      <c r="O134" s="253">
        <f t="shared" si="7"/>
        <v>228.24778898370835</v>
      </c>
      <c r="P134" s="283" t="s">
        <v>918</v>
      </c>
      <c r="Q134" s="283">
        <f t="shared" si="12"/>
        <v>269.33239100077583</v>
      </c>
      <c r="R134" s="283">
        <f t="shared" si="13"/>
        <v>287.59221411947254</v>
      </c>
      <c r="S134" s="33"/>
      <c r="T134" s="33"/>
    </row>
    <row r="135" spans="2:20" ht="15" customHeight="1" x14ac:dyDescent="0.25">
      <c r="B135" s="34">
        <v>128</v>
      </c>
      <c r="C135" s="86">
        <v>69.099999999999994</v>
      </c>
      <c r="D135" s="82" t="s">
        <v>1092</v>
      </c>
      <c r="E135" s="88" t="s">
        <v>157</v>
      </c>
      <c r="F135" s="88"/>
      <c r="G135" s="88"/>
      <c r="H135" s="41" t="s">
        <v>915</v>
      </c>
      <c r="I135" s="88" t="s">
        <v>930</v>
      </c>
      <c r="J135" s="283">
        <v>231.8</v>
      </c>
      <c r="K135" s="284">
        <f t="shared" si="10"/>
        <v>1.0126343788097087</v>
      </c>
      <c r="L135" s="285">
        <f t="shared" si="15"/>
        <v>1.2634378809708687E-2</v>
      </c>
      <c r="M135" s="283">
        <f t="shared" si="14"/>
        <v>234.72864900809049</v>
      </c>
      <c r="N135" s="283" t="s">
        <v>955</v>
      </c>
      <c r="O135" s="253">
        <f t="shared" si="7"/>
        <v>234.72864900809049</v>
      </c>
      <c r="P135" s="283" t="s">
        <v>918</v>
      </c>
      <c r="Q135" s="283">
        <f t="shared" ref="Q135:Q167" si="16">M135*1.18</f>
        <v>276.97980582954676</v>
      </c>
      <c r="R135" s="283">
        <f t="shared" ref="R135:R167" si="17">M135*1.26</f>
        <v>295.758097750194</v>
      </c>
      <c r="S135" s="33"/>
      <c r="T135" s="33"/>
    </row>
    <row r="136" spans="2:20" ht="15" customHeight="1" x14ac:dyDescent="0.25">
      <c r="B136" s="34">
        <v>129</v>
      </c>
      <c r="C136" s="88">
        <v>70.099999999999994</v>
      </c>
      <c r="D136" s="82" t="s">
        <v>1093</v>
      </c>
      <c r="E136" s="88" t="s">
        <v>157</v>
      </c>
      <c r="F136" s="88"/>
      <c r="G136" s="88"/>
      <c r="H136" s="41" t="s">
        <v>915</v>
      </c>
      <c r="I136" s="88" t="s">
        <v>930</v>
      </c>
      <c r="J136" s="283">
        <v>225.25</v>
      </c>
      <c r="K136" s="284">
        <f t="shared" si="10"/>
        <v>1.0126343788097087</v>
      </c>
      <c r="L136" s="285">
        <f t="shared" si="15"/>
        <v>1.2634378809708687E-2</v>
      </c>
      <c r="M136" s="283">
        <f t="shared" si="14"/>
        <v>228.09589382688691</v>
      </c>
      <c r="N136" s="283" t="s">
        <v>961</v>
      </c>
      <c r="O136" s="253">
        <f t="shared" ref="O136:O191" si="18">M136</f>
        <v>228.09589382688691</v>
      </c>
      <c r="P136" s="283" t="s">
        <v>918</v>
      </c>
      <c r="Q136" s="283">
        <f t="shared" si="16"/>
        <v>269.15315471572654</v>
      </c>
      <c r="R136" s="283">
        <f t="shared" si="17"/>
        <v>287.40082622187748</v>
      </c>
      <c r="S136" s="33"/>
      <c r="T136" s="33"/>
    </row>
    <row r="137" spans="2:20" ht="15" customHeight="1" x14ac:dyDescent="0.25">
      <c r="B137" s="34">
        <v>130</v>
      </c>
      <c r="C137" s="86">
        <v>71.099999999999994</v>
      </c>
      <c r="D137" s="82" t="s">
        <v>1094</v>
      </c>
      <c r="E137" s="88" t="s">
        <v>157</v>
      </c>
      <c r="F137" s="88"/>
      <c r="G137" s="88"/>
      <c r="H137" s="41" t="s">
        <v>915</v>
      </c>
      <c r="I137" s="88" t="s">
        <v>930</v>
      </c>
      <c r="J137" s="283">
        <v>198.2</v>
      </c>
      <c r="K137" s="284">
        <f t="shared" ref="K137:K185" si="19">(1+L137)</f>
        <v>1.0126343788097087</v>
      </c>
      <c r="L137" s="285">
        <f t="shared" si="15"/>
        <v>1.2634378809708687E-2</v>
      </c>
      <c r="M137" s="283">
        <f t="shared" si="14"/>
        <v>200.70413388008427</v>
      </c>
      <c r="N137" s="283" t="s">
        <v>955</v>
      </c>
      <c r="O137" s="253">
        <f t="shared" si="18"/>
        <v>200.70413388008427</v>
      </c>
      <c r="P137" s="283" t="s">
        <v>918</v>
      </c>
      <c r="Q137" s="283">
        <f t="shared" si="16"/>
        <v>236.83087797849942</v>
      </c>
      <c r="R137" s="283">
        <f t="shared" si="17"/>
        <v>252.88720868890618</v>
      </c>
      <c r="S137" s="33"/>
      <c r="T137" s="33"/>
    </row>
    <row r="138" spans="2:20" ht="25.5" customHeight="1" x14ac:dyDescent="0.25">
      <c r="B138" s="34">
        <v>131</v>
      </c>
      <c r="C138" s="86">
        <v>116.1</v>
      </c>
      <c r="D138" s="82" t="s">
        <v>292</v>
      </c>
      <c r="E138" s="88" t="s">
        <v>158</v>
      </c>
      <c r="F138" s="88"/>
      <c r="G138" s="88"/>
      <c r="H138" s="41" t="s">
        <v>915</v>
      </c>
      <c r="I138" s="88" t="s">
        <v>930</v>
      </c>
      <c r="J138" s="283">
        <v>4947.6000000000004</v>
      </c>
      <c r="K138" s="284">
        <f t="shared" si="19"/>
        <v>1.0267365704887732</v>
      </c>
      <c r="L138" s="285">
        <f>$L$3</f>
        <v>2.6736570488773183E-2</v>
      </c>
      <c r="M138" s="283">
        <f t="shared" si="14"/>
        <v>5079.8818561502549</v>
      </c>
      <c r="N138" s="283" t="s">
        <v>955</v>
      </c>
      <c r="O138" s="253">
        <f t="shared" si="18"/>
        <v>5079.8818561502549</v>
      </c>
      <c r="P138" s="283" t="s">
        <v>918</v>
      </c>
      <c r="Q138" s="283">
        <f t="shared" si="16"/>
        <v>5994.2605902573005</v>
      </c>
      <c r="R138" s="283">
        <f t="shared" si="17"/>
        <v>6400.651138749321</v>
      </c>
      <c r="S138" s="33"/>
      <c r="T138" s="33"/>
    </row>
    <row r="139" spans="2:20" ht="15" customHeight="1" x14ac:dyDescent="0.25">
      <c r="B139" s="34">
        <v>132</v>
      </c>
      <c r="C139" s="86">
        <v>117.1</v>
      </c>
      <c r="D139" s="82" t="s">
        <v>293</v>
      </c>
      <c r="E139" s="88" t="s">
        <v>158</v>
      </c>
      <c r="F139" s="88"/>
      <c r="G139" s="88"/>
      <c r="H139" s="41" t="s">
        <v>915</v>
      </c>
      <c r="I139" s="88" t="s">
        <v>930</v>
      </c>
      <c r="J139" s="283">
        <v>58621.599999999999</v>
      </c>
      <c r="K139" s="284">
        <f t="shared" si="19"/>
        <v>1.0267365704887732</v>
      </c>
      <c r="L139" s="285">
        <f>$L$3</f>
        <v>2.6736570488773183E-2</v>
      </c>
      <c r="M139" s="283">
        <f t="shared" si="14"/>
        <v>60188.940540564668</v>
      </c>
      <c r="N139" s="283" t="s">
        <v>955</v>
      </c>
      <c r="O139" s="253">
        <f t="shared" si="18"/>
        <v>60188.940540564668</v>
      </c>
      <c r="P139" s="283" t="s">
        <v>918</v>
      </c>
      <c r="Q139" s="283">
        <f t="shared" si="16"/>
        <v>71022.949837866312</v>
      </c>
      <c r="R139" s="283">
        <f t="shared" si="17"/>
        <v>75838.065081111476</v>
      </c>
      <c r="S139" s="33"/>
      <c r="T139" s="33"/>
    </row>
    <row r="140" spans="2:20" ht="15" customHeight="1" x14ac:dyDescent="0.25">
      <c r="B140" s="34">
        <v>133</v>
      </c>
      <c r="C140" s="86">
        <v>121.1</v>
      </c>
      <c r="D140" s="82" t="s">
        <v>1095</v>
      </c>
      <c r="E140" s="88" t="s">
        <v>157</v>
      </c>
      <c r="F140" s="88"/>
      <c r="G140" s="88"/>
      <c r="H140" s="41" t="s">
        <v>915</v>
      </c>
      <c r="I140" s="88" t="s">
        <v>930</v>
      </c>
      <c r="J140" s="283">
        <v>25</v>
      </c>
      <c r="K140" s="284">
        <f t="shared" si="19"/>
        <v>1.0267365704887732</v>
      </c>
      <c r="L140" s="285">
        <f>$L$3</f>
        <v>2.6736570488773183E-2</v>
      </c>
      <c r="M140" s="283">
        <f t="shared" si="14"/>
        <v>25.668414262219329</v>
      </c>
      <c r="N140" s="283" t="s">
        <v>956</v>
      </c>
      <c r="O140" s="253">
        <f t="shared" si="18"/>
        <v>25.668414262219329</v>
      </c>
      <c r="P140" s="283" t="s">
        <v>918</v>
      </c>
      <c r="Q140" s="283">
        <f t="shared" si="16"/>
        <v>30.288728829418808</v>
      </c>
      <c r="R140" s="283">
        <f t="shared" si="17"/>
        <v>32.342201970396353</v>
      </c>
      <c r="S140" s="33"/>
      <c r="T140" s="33"/>
    </row>
    <row r="141" spans="2:20" ht="15" customHeight="1" x14ac:dyDescent="0.25">
      <c r="B141" s="34">
        <v>134</v>
      </c>
      <c r="C141" s="86">
        <v>15.1</v>
      </c>
      <c r="D141" s="82" t="s">
        <v>296</v>
      </c>
      <c r="E141" s="88" t="s">
        <v>286</v>
      </c>
      <c r="F141" s="88"/>
      <c r="G141" s="88"/>
      <c r="H141" s="41" t="s">
        <v>915</v>
      </c>
      <c r="I141" s="88" t="s">
        <v>930</v>
      </c>
      <c r="J141" s="283">
        <v>40.15</v>
      </c>
      <c r="K141" s="284">
        <f t="shared" si="19"/>
        <v>1.0222634508348794</v>
      </c>
      <c r="L141" s="285">
        <f t="shared" ref="L141:L149" si="20">$X$8</f>
        <v>2.2263450834879406E-2</v>
      </c>
      <c r="M141" s="283">
        <f t="shared" si="14"/>
        <v>41.043877551020401</v>
      </c>
      <c r="N141" s="283" t="s">
        <v>955</v>
      </c>
      <c r="O141" s="253">
        <f t="shared" si="18"/>
        <v>41.043877551020401</v>
      </c>
      <c r="P141" s="283" t="s">
        <v>918</v>
      </c>
      <c r="Q141" s="283">
        <f t="shared" si="16"/>
        <v>48.431775510204069</v>
      </c>
      <c r="R141" s="283">
        <f t="shared" si="17"/>
        <v>51.715285714285706</v>
      </c>
      <c r="S141" s="33"/>
      <c r="T141" s="33"/>
    </row>
    <row r="142" spans="2:20" ht="15" customHeight="1" x14ac:dyDescent="0.25">
      <c r="B142" s="34">
        <v>135</v>
      </c>
      <c r="C142" s="86">
        <v>13.1</v>
      </c>
      <c r="D142" s="82" t="s">
        <v>298</v>
      </c>
      <c r="E142" s="88" t="s">
        <v>286</v>
      </c>
      <c r="F142" s="88"/>
      <c r="G142" s="88"/>
      <c r="H142" s="41" t="s">
        <v>915</v>
      </c>
      <c r="I142" s="88" t="s">
        <v>930</v>
      </c>
      <c r="J142" s="283">
        <v>64</v>
      </c>
      <c r="K142" s="284">
        <f t="shared" si="19"/>
        <v>1.0222634508348794</v>
      </c>
      <c r="L142" s="285">
        <f t="shared" si="20"/>
        <v>2.2263450834879406E-2</v>
      </c>
      <c r="M142" s="283">
        <f t="shared" si="14"/>
        <v>65.424860853432278</v>
      </c>
      <c r="N142" s="283" t="s">
        <v>961</v>
      </c>
      <c r="O142" s="253">
        <f t="shared" si="18"/>
        <v>65.424860853432278</v>
      </c>
      <c r="P142" s="283" t="s">
        <v>918</v>
      </c>
      <c r="Q142" s="283">
        <f t="shared" si="16"/>
        <v>77.201335807050086</v>
      </c>
      <c r="R142" s="283">
        <f t="shared" si="17"/>
        <v>82.435324675324665</v>
      </c>
      <c r="S142" s="33"/>
      <c r="T142" s="33"/>
    </row>
    <row r="143" spans="2:20" ht="25.5" customHeight="1" x14ac:dyDescent="0.25">
      <c r="B143" s="34">
        <v>136</v>
      </c>
      <c r="C143" s="41" t="s">
        <v>843</v>
      </c>
      <c r="D143" s="82" t="s">
        <v>844</v>
      </c>
      <c r="E143" s="88" t="s">
        <v>286</v>
      </c>
      <c r="F143" s="88"/>
      <c r="G143" s="88"/>
      <c r="H143" s="41" t="s">
        <v>924</v>
      </c>
      <c r="I143" s="88" t="s">
        <v>930</v>
      </c>
      <c r="J143" s="283">
        <v>125.7</v>
      </c>
      <c r="K143" s="284">
        <f t="shared" si="19"/>
        <v>1.0222634508348794</v>
      </c>
      <c r="L143" s="285">
        <f t="shared" si="20"/>
        <v>2.2263450834879406E-2</v>
      </c>
      <c r="M143" s="283">
        <f t="shared" si="14"/>
        <v>128.49851576994433</v>
      </c>
      <c r="N143" s="283" t="s">
        <v>939</v>
      </c>
      <c r="O143" s="253">
        <f t="shared" si="18"/>
        <v>128.49851576994433</v>
      </c>
      <c r="P143" s="283" t="s">
        <v>918</v>
      </c>
      <c r="Q143" s="283">
        <f t="shared" si="16"/>
        <v>151.62824860853431</v>
      </c>
      <c r="R143" s="283">
        <f t="shared" si="17"/>
        <v>161.90812987012987</v>
      </c>
      <c r="T143" s="259">
        <f>COUNT(#REF!)</f>
        <v>0</v>
      </c>
    </row>
    <row r="144" spans="2:20" ht="25.5" customHeight="1" x14ac:dyDescent="0.25">
      <c r="B144" s="34">
        <v>137</v>
      </c>
      <c r="C144" s="41" t="s">
        <v>1096</v>
      </c>
      <c r="D144" s="82" t="s">
        <v>1097</v>
      </c>
      <c r="E144" s="88" t="s">
        <v>286</v>
      </c>
      <c r="F144" s="88"/>
      <c r="G144" s="88"/>
      <c r="H144" s="41" t="s">
        <v>924</v>
      </c>
      <c r="I144" s="88" t="s">
        <v>930</v>
      </c>
      <c r="J144" s="283">
        <v>154.5</v>
      </c>
      <c r="K144" s="284">
        <f t="shared" si="19"/>
        <v>1.0222634508348794</v>
      </c>
      <c r="L144" s="285">
        <f t="shared" si="20"/>
        <v>2.2263450834879406E-2</v>
      </c>
      <c r="M144" s="283">
        <f t="shared" si="14"/>
        <v>157.93970315398886</v>
      </c>
      <c r="N144" s="283" t="s">
        <v>939</v>
      </c>
      <c r="O144" s="253">
        <f t="shared" si="18"/>
        <v>157.93970315398886</v>
      </c>
      <c r="P144" s="283" t="s">
        <v>918</v>
      </c>
      <c r="Q144" s="283">
        <f t="shared" si="16"/>
        <v>186.36884972170685</v>
      </c>
      <c r="R144" s="283">
        <f t="shared" si="17"/>
        <v>199.00402597402595</v>
      </c>
      <c r="S144" s="33"/>
      <c r="T144" s="33">
        <f>COUNT(#REF!)</f>
        <v>0</v>
      </c>
    </row>
    <row r="145" spans="2:20" ht="15" customHeight="1" x14ac:dyDescent="0.25">
      <c r="B145" s="34">
        <v>138</v>
      </c>
      <c r="C145" s="86">
        <v>16.100000000000001</v>
      </c>
      <c r="D145" s="82" t="s">
        <v>297</v>
      </c>
      <c r="E145" s="88" t="s">
        <v>286</v>
      </c>
      <c r="F145" s="88"/>
      <c r="G145" s="88"/>
      <c r="H145" s="41" t="s">
        <v>915</v>
      </c>
      <c r="I145" s="88" t="s">
        <v>930</v>
      </c>
      <c r="J145" s="283">
        <v>186.8</v>
      </c>
      <c r="K145" s="284">
        <f t="shared" si="19"/>
        <v>1.0222634508348794</v>
      </c>
      <c r="L145" s="285">
        <f t="shared" si="20"/>
        <v>2.2263450834879406E-2</v>
      </c>
      <c r="M145" s="283">
        <f t="shared" si="14"/>
        <v>190.95881261595548</v>
      </c>
      <c r="N145" s="283" t="s">
        <v>955</v>
      </c>
      <c r="O145" s="253">
        <f t="shared" si="18"/>
        <v>190.95881261595548</v>
      </c>
      <c r="P145" s="283" t="s">
        <v>918</v>
      </c>
      <c r="Q145" s="283">
        <f t="shared" si="16"/>
        <v>225.33139888682746</v>
      </c>
      <c r="R145" s="283">
        <f t="shared" si="17"/>
        <v>240.6081038961039</v>
      </c>
      <c r="S145" s="33"/>
      <c r="T145" s="33"/>
    </row>
    <row r="146" spans="2:20" ht="25.5" customHeight="1" x14ac:dyDescent="0.25">
      <c r="B146" s="34">
        <v>139</v>
      </c>
      <c r="C146" s="41" t="s">
        <v>1098</v>
      </c>
      <c r="D146" s="82" t="s">
        <v>1099</v>
      </c>
      <c r="E146" s="88" t="s">
        <v>286</v>
      </c>
      <c r="F146" s="88"/>
      <c r="G146" s="88"/>
      <c r="H146" s="41" t="s">
        <v>924</v>
      </c>
      <c r="I146" s="88" t="s">
        <v>930</v>
      </c>
      <c r="J146" s="283">
        <v>78.3</v>
      </c>
      <c r="K146" s="284">
        <f t="shared" si="19"/>
        <v>1.0222634508348794</v>
      </c>
      <c r="L146" s="285">
        <f t="shared" si="20"/>
        <v>2.2263450834879406E-2</v>
      </c>
      <c r="M146" s="283">
        <f t="shared" si="14"/>
        <v>80.043228200371047</v>
      </c>
      <c r="N146" s="283" t="s">
        <v>939</v>
      </c>
      <c r="O146" s="253">
        <f t="shared" si="18"/>
        <v>80.043228200371047</v>
      </c>
      <c r="P146" s="283" t="s">
        <v>918</v>
      </c>
      <c r="Q146" s="283">
        <f t="shared" si="16"/>
        <v>94.45100927643783</v>
      </c>
      <c r="R146" s="283">
        <f t="shared" si="17"/>
        <v>100.85446753246752</v>
      </c>
      <c r="S146" s="33"/>
      <c r="T146" s="33">
        <f>COUNT(#REF!)</f>
        <v>0</v>
      </c>
    </row>
    <row r="147" spans="2:20" ht="25.5" customHeight="1" x14ac:dyDescent="0.25">
      <c r="B147" s="34">
        <v>140</v>
      </c>
      <c r="C147" s="41" t="s">
        <v>1100</v>
      </c>
      <c r="D147" s="82" t="s">
        <v>1101</v>
      </c>
      <c r="E147" s="88" t="s">
        <v>286</v>
      </c>
      <c r="F147" s="88"/>
      <c r="G147" s="88"/>
      <c r="H147" s="41" t="s">
        <v>924</v>
      </c>
      <c r="I147" s="88" t="s">
        <v>930</v>
      </c>
      <c r="J147" s="283">
        <v>112.8</v>
      </c>
      <c r="K147" s="284">
        <f t="shared" si="19"/>
        <v>1.0222634508348794</v>
      </c>
      <c r="L147" s="285">
        <f t="shared" si="20"/>
        <v>2.2263450834879406E-2</v>
      </c>
      <c r="M147" s="283">
        <f t="shared" si="14"/>
        <v>115.31131725417438</v>
      </c>
      <c r="N147" s="283" t="s">
        <v>939</v>
      </c>
      <c r="O147" s="253">
        <f t="shared" si="18"/>
        <v>115.31131725417438</v>
      </c>
      <c r="P147" s="283" t="s">
        <v>918</v>
      </c>
      <c r="Q147" s="283">
        <f t="shared" si="16"/>
        <v>136.06735435992576</v>
      </c>
      <c r="R147" s="283">
        <f t="shared" si="17"/>
        <v>145.29225974025974</v>
      </c>
      <c r="S147" s="33"/>
      <c r="T147" s="33">
        <f>COUNT(#REF!)</f>
        <v>0</v>
      </c>
    </row>
    <row r="148" spans="2:20" ht="25.5" customHeight="1" x14ac:dyDescent="0.25">
      <c r="B148" s="34">
        <v>141</v>
      </c>
      <c r="C148" s="41" t="s">
        <v>1102</v>
      </c>
      <c r="D148" s="82" t="s">
        <v>1103</v>
      </c>
      <c r="E148" s="88" t="s">
        <v>286</v>
      </c>
      <c r="F148" s="88"/>
      <c r="G148" s="88"/>
      <c r="H148" s="41" t="s">
        <v>924</v>
      </c>
      <c r="I148" s="88" t="s">
        <v>930</v>
      </c>
      <c r="J148" s="283">
        <v>145</v>
      </c>
      <c r="K148" s="284">
        <f t="shared" si="19"/>
        <v>1.0222634508348794</v>
      </c>
      <c r="L148" s="285">
        <f t="shared" si="20"/>
        <v>2.2263450834879406E-2</v>
      </c>
      <c r="M148" s="283">
        <f t="shared" si="14"/>
        <v>148.22820037105751</v>
      </c>
      <c r="N148" s="283" t="s">
        <v>925</v>
      </c>
      <c r="O148" s="253">
        <f t="shared" si="18"/>
        <v>148.22820037105751</v>
      </c>
      <c r="P148" s="283" t="s">
        <v>918</v>
      </c>
      <c r="Q148" s="283">
        <f t="shared" si="16"/>
        <v>174.90927643784786</v>
      </c>
      <c r="R148" s="283">
        <f t="shared" si="17"/>
        <v>186.76753246753248</v>
      </c>
      <c r="S148" s="33"/>
      <c r="T148" s="33"/>
    </row>
    <row r="149" spans="2:20" ht="15" customHeight="1" x14ac:dyDescent="0.25">
      <c r="B149" s="34">
        <v>142</v>
      </c>
      <c r="C149" s="86">
        <v>14.1</v>
      </c>
      <c r="D149" s="82" t="s">
        <v>1104</v>
      </c>
      <c r="E149" s="88" t="s">
        <v>286</v>
      </c>
      <c r="F149" s="88"/>
      <c r="G149" s="88"/>
      <c r="H149" s="41" t="s">
        <v>915</v>
      </c>
      <c r="I149" s="88" t="s">
        <v>930</v>
      </c>
      <c r="J149" s="283">
        <v>162</v>
      </c>
      <c r="K149" s="284">
        <f t="shared" si="19"/>
        <v>1.0222634508348794</v>
      </c>
      <c r="L149" s="285">
        <f t="shared" si="20"/>
        <v>2.2263450834879406E-2</v>
      </c>
      <c r="M149" s="283">
        <f t="shared" si="14"/>
        <v>165.60667903525047</v>
      </c>
      <c r="N149" s="283" t="s">
        <v>955</v>
      </c>
      <c r="O149" s="253">
        <f t="shared" si="18"/>
        <v>165.60667903525047</v>
      </c>
      <c r="P149" s="283" t="s">
        <v>918</v>
      </c>
      <c r="Q149" s="283">
        <f t="shared" si="16"/>
        <v>195.41588126159553</v>
      </c>
      <c r="R149" s="283">
        <f t="shared" si="17"/>
        <v>208.66441558441559</v>
      </c>
      <c r="S149" s="33"/>
      <c r="T149" s="33"/>
    </row>
    <row r="150" spans="2:20" ht="15" customHeight="1" x14ac:dyDescent="0.25">
      <c r="B150" s="34">
        <v>143</v>
      </c>
      <c r="C150" s="41" t="s">
        <v>1105</v>
      </c>
      <c r="D150" s="82" t="s">
        <v>1106</v>
      </c>
      <c r="E150" s="88" t="s">
        <v>286</v>
      </c>
      <c r="F150" s="88"/>
      <c r="G150" s="88"/>
      <c r="H150" s="41" t="s">
        <v>924</v>
      </c>
      <c r="I150" s="88" t="s">
        <v>930</v>
      </c>
      <c r="J150" s="283">
        <v>223.73</v>
      </c>
      <c r="K150" s="284">
        <f t="shared" si="19"/>
        <v>1.0394657410202235</v>
      </c>
      <c r="L150" s="285">
        <f>$X$9</f>
        <v>3.9465741020223502E-2</v>
      </c>
      <c r="M150" s="283">
        <f t="shared" si="14"/>
        <v>232.5596702384546</v>
      </c>
      <c r="N150" s="88" t="s">
        <v>1107</v>
      </c>
      <c r="O150" s="253">
        <f t="shared" si="18"/>
        <v>232.5596702384546</v>
      </c>
      <c r="P150" s="283" t="s">
        <v>918</v>
      </c>
      <c r="Q150" s="283">
        <f t="shared" si="16"/>
        <v>274.42041088137643</v>
      </c>
      <c r="R150" s="283">
        <f t="shared" si="17"/>
        <v>293.02518450045278</v>
      </c>
      <c r="T150" s="259">
        <f>COUNT(#REF!)</f>
        <v>0</v>
      </c>
    </row>
    <row r="151" spans="2:20" customFormat="1" ht="15" customHeight="1" x14ac:dyDescent="0.25">
      <c r="B151" s="34">
        <v>144</v>
      </c>
      <c r="C151" s="84" t="s">
        <v>1108</v>
      </c>
      <c r="D151" s="57" t="s">
        <v>1109</v>
      </c>
      <c r="E151" s="89" t="s">
        <v>222</v>
      </c>
      <c r="F151" s="89"/>
      <c r="G151" s="89"/>
      <c r="H151" s="41" t="s">
        <v>924</v>
      </c>
      <c r="I151" s="299" t="s">
        <v>930</v>
      </c>
      <c r="J151" s="283">
        <v>20</v>
      </c>
      <c r="K151" s="284">
        <f t="shared" si="19"/>
        <v>1</v>
      </c>
      <c r="L151" s="285">
        <v>0</v>
      </c>
      <c r="M151" s="283">
        <f t="shared" si="14"/>
        <v>20</v>
      </c>
      <c r="N151" s="89" t="s">
        <v>1010</v>
      </c>
      <c r="O151" s="253">
        <f t="shared" si="18"/>
        <v>20</v>
      </c>
      <c r="P151" s="283" t="s">
        <v>918</v>
      </c>
      <c r="Q151" s="283">
        <f t="shared" si="16"/>
        <v>23.599999999999998</v>
      </c>
      <c r="R151" s="283">
        <f t="shared" si="17"/>
        <v>25.2</v>
      </c>
      <c r="S151" s="33"/>
    </row>
    <row r="152" spans="2:20" customFormat="1" ht="15" customHeight="1" x14ac:dyDescent="0.25">
      <c r="B152" s="34">
        <v>145</v>
      </c>
      <c r="C152" s="84" t="s">
        <v>1110</v>
      </c>
      <c r="D152" s="251" t="s">
        <v>1111</v>
      </c>
      <c r="E152" s="41" t="s">
        <v>1112</v>
      </c>
      <c r="F152" s="88"/>
      <c r="G152" s="88"/>
      <c r="H152" s="41" t="s">
        <v>924</v>
      </c>
      <c r="I152" s="252" t="s">
        <v>916</v>
      </c>
      <c r="J152" s="283">
        <v>48000</v>
      </c>
      <c r="K152" s="284">
        <f t="shared" si="19"/>
        <v>1</v>
      </c>
      <c r="L152" s="285">
        <v>0</v>
      </c>
      <c r="M152" s="283">
        <f t="shared" si="14"/>
        <v>48000</v>
      </c>
      <c r="N152" s="88" t="s">
        <v>1113</v>
      </c>
      <c r="O152" s="253">
        <f t="shared" si="18"/>
        <v>48000</v>
      </c>
      <c r="P152" s="283" t="s">
        <v>918</v>
      </c>
      <c r="Q152" s="283">
        <f t="shared" si="16"/>
        <v>56640</v>
      </c>
      <c r="R152" s="283">
        <f t="shared" si="17"/>
        <v>60480</v>
      </c>
      <c r="S152" s="33"/>
      <c r="T152" s="33">
        <f>COUNT(#REF!)</f>
        <v>0</v>
      </c>
    </row>
    <row r="153" spans="2:20" customFormat="1" ht="76.5" customHeight="1" x14ac:dyDescent="0.25">
      <c r="B153" s="34">
        <v>146</v>
      </c>
      <c r="C153" s="84" t="s">
        <v>299</v>
      </c>
      <c r="D153" s="57" t="s">
        <v>300</v>
      </c>
      <c r="E153" s="89" t="s">
        <v>158</v>
      </c>
      <c r="F153" s="41"/>
      <c r="G153" s="41"/>
      <c r="H153" s="41" t="s">
        <v>924</v>
      </c>
      <c r="I153" s="299" t="s">
        <v>916</v>
      </c>
      <c r="J153" s="283">
        <v>1207000</v>
      </c>
      <c r="K153" s="284">
        <f t="shared" si="19"/>
        <v>1.0657773317498953</v>
      </c>
      <c r="L153" s="285">
        <f>$L$2</f>
        <v>6.5777331749895404E-2</v>
      </c>
      <c r="M153" s="283">
        <f t="shared" si="14"/>
        <v>1286393.2394221236</v>
      </c>
      <c r="N153" s="89" t="s">
        <v>1114</v>
      </c>
      <c r="O153" s="253">
        <f t="shared" si="18"/>
        <v>1286393.2394221236</v>
      </c>
      <c r="P153" s="283" t="s">
        <v>918</v>
      </c>
      <c r="Q153" s="283">
        <f t="shared" si="16"/>
        <v>1517944.0225181058</v>
      </c>
      <c r="R153" s="283">
        <f t="shared" si="17"/>
        <v>1620855.4816718758</v>
      </c>
      <c r="S153" s="259"/>
      <c r="T153" s="259">
        <f>COUNT(#REF!)</f>
        <v>0</v>
      </c>
    </row>
    <row r="154" spans="2:20" customFormat="1" ht="63.75" customHeight="1" x14ac:dyDescent="0.25">
      <c r="B154" s="34">
        <v>147</v>
      </c>
      <c r="C154" s="84" t="s">
        <v>1115</v>
      </c>
      <c r="D154" s="155" t="s">
        <v>1116</v>
      </c>
      <c r="E154" s="89" t="s">
        <v>157</v>
      </c>
      <c r="F154" s="41"/>
      <c r="G154" s="41"/>
      <c r="H154" s="41" t="s">
        <v>924</v>
      </c>
      <c r="I154" s="89" t="s">
        <v>916</v>
      </c>
      <c r="J154" s="283">
        <v>179001</v>
      </c>
      <c r="K154" s="284">
        <f t="shared" si="19"/>
        <v>1.0267365704887732</v>
      </c>
      <c r="L154" s="285">
        <f>$L$3</f>
        <v>2.6736570488773183E-2</v>
      </c>
      <c r="M154" s="283">
        <f t="shared" si="14"/>
        <v>183786.8728540609</v>
      </c>
      <c r="N154" s="283" t="s">
        <v>939</v>
      </c>
      <c r="O154" s="253">
        <f t="shared" si="18"/>
        <v>183786.8728540609</v>
      </c>
      <c r="P154" s="283" t="s">
        <v>918</v>
      </c>
      <c r="Q154" s="283">
        <f t="shared" si="16"/>
        <v>216868.50996779185</v>
      </c>
      <c r="R154" s="283">
        <f t="shared" si="17"/>
        <v>231571.45979611675</v>
      </c>
      <c r="S154" s="259"/>
      <c r="T154" s="259">
        <f>COUNT(#REF!)</f>
        <v>0</v>
      </c>
    </row>
    <row r="155" spans="2:20" customFormat="1" ht="76.5" customHeight="1" x14ac:dyDescent="0.25">
      <c r="B155" s="34">
        <v>148</v>
      </c>
      <c r="C155" s="84" t="s">
        <v>1117</v>
      </c>
      <c r="D155" s="57" t="s">
        <v>1118</v>
      </c>
      <c r="E155" s="89" t="s">
        <v>158</v>
      </c>
      <c r="F155" s="41"/>
      <c r="G155" s="41"/>
      <c r="H155" s="41" t="s">
        <v>924</v>
      </c>
      <c r="I155" s="299" t="s">
        <v>916</v>
      </c>
      <c r="J155" s="283">
        <v>500000</v>
      </c>
      <c r="K155" s="284">
        <f t="shared" si="19"/>
        <v>1.0657773317498953</v>
      </c>
      <c r="L155" s="285">
        <f>$L$2</f>
        <v>6.5777331749895404E-2</v>
      </c>
      <c r="M155" s="283">
        <f t="shared" si="14"/>
        <v>532888.66587494768</v>
      </c>
      <c r="N155" s="283" t="s">
        <v>1119</v>
      </c>
      <c r="O155" s="253">
        <f t="shared" si="18"/>
        <v>532888.66587494768</v>
      </c>
      <c r="P155" s="283" t="s">
        <v>918</v>
      </c>
      <c r="Q155" s="283">
        <f t="shared" si="16"/>
        <v>628808.62573243817</v>
      </c>
      <c r="R155" s="283">
        <f t="shared" si="17"/>
        <v>671439.71900243405</v>
      </c>
      <c r="S155" s="33"/>
      <c r="T155" s="33">
        <f>COUNT(#REF!)</f>
        <v>0</v>
      </c>
    </row>
    <row r="156" spans="2:20" customFormat="1" ht="25.5" customHeight="1" x14ac:dyDescent="0.25">
      <c r="B156" s="34">
        <v>149</v>
      </c>
      <c r="C156" s="84" t="s">
        <v>1120</v>
      </c>
      <c r="D156" s="155" t="s">
        <v>1121</v>
      </c>
      <c r="E156" s="89" t="s">
        <v>157</v>
      </c>
      <c r="F156" s="41"/>
      <c r="G156" s="41"/>
      <c r="H156" s="41" t="s">
        <v>924</v>
      </c>
      <c r="I156" s="89" t="s">
        <v>916</v>
      </c>
      <c r="J156" s="283">
        <v>135369</v>
      </c>
      <c r="K156" s="284">
        <f t="shared" si="19"/>
        <v>1.0267365704887732</v>
      </c>
      <c r="L156" s="285">
        <f>$L$3</f>
        <v>2.6736570488773183E-2</v>
      </c>
      <c r="M156" s="283">
        <f t="shared" si="14"/>
        <v>138988.30281049473</v>
      </c>
      <c r="N156" s="283" t="s">
        <v>939</v>
      </c>
      <c r="O156" s="253">
        <f t="shared" si="18"/>
        <v>138988.30281049473</v>
      </c>
      <c r="P156" s="283" t="s">
        <v>918</v>
      </c>
      <c r="Q156" s="283">
        <f t="shared" si="16"/>
        <v>164006.19731638377</v>
      </c>
      <c r="R156" s="283">
        <f t="shared" si="17"/>
        <v>175125.26154122336</v>
      </c>
      <c r="S156" s="259"/>
      <c r="T156" s="259">
        <f>COUNT(#REF!)</f>
        <v>0</v>
      </c>
    </row>
    <row r="157" spans="2:20" ht="25.5" customHeight="1" x14ac:dyDescent="0.25">
      <c r="B157" s="34">
        <v>150</v>
      </c>
      <c r="C157" s="72">
        <v>185.1</v>
      </c>
      <c r="D157" s="82" t="s">
        <v>1122</v>
      </c>
      <c r="E157" s="41" t="s">
        <v>157</v>
      </c>
      <c r="F157" s="41"/>
      <c r="G157" s="41"/>
      <c r="H157" s="41" t="s">
        <v>915</v>
      </c>
      <c r="I157" s="88" t="s">
        <v>916</v>
      </c>
      <c r="J157" s="283">
        <v>436153.64</v>
      </c>
      <c r="K157" s="284">
        <f t="shared" si="19"/>
        <v>1.0441014332965821</v>
      </c>
      <c r="L157" s="285">
        <f>$U$9</f>
        <v>4.4101433296582136E-2</v>
      </c>
      <c r="M157" s="283">
        <f t="shared" si="14"/>
        <v>455388.64066152152</v>
      </c>
      <c r="N157" s="283" t="s">
        <v>933</v>
      </c>
      <c r="O157" s="253">
        <f t="shared" si="18"/>
        <v>455388.64066152152</v>
      </c>
      <c r="P157" s="283" t="s">
        <v>918</v>
      </c>
      <c r="Q157" s="283">
        <f t="shared" si="16"/>
        <v>537358.59598059533</v>
      </c>
      <c r="R157" s="283">
        <f t="shared" si="17"/>
        <v>573789.68723351718</v>
      </c>
      <c r="S157" s="33">
        <v>394937.5</v>
      </c>
      <c r="T157" s="33"/>
    </row>
    <row r="158" spans="2:20" ht="25.5" customHeight="1" x14ac:dyDescent="0.25">
      <c r="B158" s="34">
        <v>151</v>
      </c>
      <c r="C158" s="72">
        <v>186.1</v>
      </c>
      <c r="D158" s="82" t="s">
        <v>1123</v>
      </c>
      <c r="E158" s="41" t="s">
        <v>157</v>
      </c>
      <c r="F158" s="41"/>
      <c r="G158" s="41"/>
      <c r="H158" s="41" t="s">
        <v>915</v>
      </c>
      <c r="I158" s="88" t="s">
        <v>916</v>
      </c>
      <c r="J158" s="283">
        <v>255326.44</v>
      </c>
      <c r="K158" s="284">
        <f t="shared" si="19"/>
        <v>1.0657773317498953</v>
      </c>
      <c r="L158" s="285">
        <f>$L$2</f>
        <v>6.5777331749895404E-2</v>
      </c>
      <c r="M158" s="283">
        <f t="shared" si="14"/>
        <v>272121.13194839976</v>
      </c>
      <c r="N158" s="283" t="s">
        <v>936</v>
      </c>
      <c r="O158" s="253">
        <f t="shared" si="18"/>
        <v>272121.13194839976</v>
      </c>
      <c r="P158" s="283" t="s">
        <v>918</v>
      </c>
      <c r="Q158" s="283">
        <f t="shared" si="16"/>
        <v>321102.93569911172</v>
      </c>
      <c r="R158" s="283">
        <f t="shared" si="17"/>
        <v>342872.62625498371</v>
      </c>
      <c r="S158" s="33"/>
      <c r="T158" s="33"/>
    </row>
    <row r="159" spans="2:20" ht="25.5" customHeight="1" x14ac:dyDescent="0.25">
      <c r="B159" s="34">
        <v>152</v>
      </c>
      <c r="C159" s="86">
        <v>187.3</v>
      </c>
      <c r="D159" s="82" t="s">
        <v>1124</v>
      </c>
      <c r="E159" s="88" t="s">
        <v>157</v>
      </c>
      <c r="F159" s="41"/>
      <c r="G159" s="41"/>
      <c r="H159" s="41" t="s">
        <v>915</v>
      </c>
      <c r="I159" s="88" t="s">
        <v>916</v>
      </c>
      <c r="J159" s="283">
        <v>174461.33</v>
      </c>
      <c r="K159" s="284">
        <f t="shared" si="19"/>
        <v>1.0057349192863212</v>
      </c>
      <c r="L159" s="285">
        <f>$U$8</f>
        <v>5.7349192863212217E-3</v>
      </c>
      <c r="M159" s="283">
        <f t="shared" si="14"/>
        <v>175461.85164613422</v>
      </c>
      <c r="N159" s="283" t="s">
        <v>933</v>
      </c>
      <c r="O159" s="253">
        <f t="shared" si="18"/>
        <v>175461.85164613422</v>
      </c>
      <c r="P159" s="283" t="s">
        <v>918</v>
      </c>
      <c r="Q159" s="283">
        <f t="shared" si="16"/>
        <v>207044.98494243837</v>
      </c>
      <c r="R159" s="283">
        <f t="shared" si="17"/>
        <v>221081.93307412913</v>
      </c>
      <c r="S159" s="33">
        <v>174751</v>
      </c>
      <c r="T159" s="33"/>
    </row>
    <row r="160" spans="2:20" ht="25.5" customHeight="1" x14ac:dyDescent="0.25">
      <c r="B160" s="34">
        <v>153</v>
      </c>
      <c r="C160" s="86">
        <v>188.2</v>
      </c>
      <c r="D160" s="82" t="s">
        <v>1125</v>
      </c>
      <c r="E160" s="88" t="s">
        <v>157</v>
      </c>
      <c r="F160" s="41"/>
      <c r="G160" s="41"/>
      <c r="H160" s="41" t="s">
        <v>915</v>
      </c>
      <c r="I160" s="88" t="s">
        <v>916</v>
      </c>
      <c r="J160" s="283">
        <v>106000</v>
      </c>
      <c r="K160" s="284">
        <f t="shared" si="19"/>
        <v>1</v>
      </c>
      <c r="L160" s="285">
        <v>0</v>
      </c>
      <c r="M160" s="283">
        <f t="shared" si="14"/>
        <v>106000</v>
      </c>
      <c r="N160" s="283" t="s">
        <v>933</v>
      </c>
      <c r="O160" s="253">
        <f t="shared" si="18"/>
        <v>106000</v>
      </c>
      <c r="P160" s="283" t="s">
        <v>918</v>
      </c>
      <c r="Q160" s="283">
        <f t="shared" si="16"/>
        <v>125080</v>
      </c>
      <c r="R160" s="283">
        <f t="shared" si="17"/>
        <v>133560</v>
      </c>
      <c r="S160" s="33">
        <v>106000</v>
      </c>
      <c r="T160" s="33"/>
    </row>
    <row r="161" spans="2:20" ht="25.5" customHeight="1" x14ac:dyDescent="0.25">
      <c r="B161" s="34">
        <v>154</v>
      </c>
      <c r="C161" s="86">
        <v>189.2</v>
      </c>
      <c r="D161" s="82" t="s">
        <v>1126</v>
      </c>
      <c r="E161" s="88" t="s">
        <v>157</v>
      </c>
      <c r="F161" s="41"/>
      <c r="G161" s="41"/>
      <c r="H161" s="41" t="s">
        <v>915</v>
      </c>
      <c r="I161" s="88" t="s">
        <v>916</v>
      </c>
      <c r="J161" s="283">
        <v>83799.75</v>
      </c>
      <c r="K161" s="284">
        <f t="shared" si="19"/>
        <v>1.0057349192863212</v>
      </c>
      <c r="L161" s="285">
        <f>$U$8</f>
        <v>5.7349192863212217E-3</v>
      </c>
      <c r="M161" s="283">
        <f t="shared" si="14"/>
        <v>84280.334802463898</v>
      </c>
      <c r="N161" s="283" t="s">
        <v>933</v>
      </c>
      <c r="O161" s="253">
        <f t="shared" si="18"/>
        <v>84280.334802463898</v>
      </c>
      <c r="P161" s="283" t="s">
        <v>918</v>
      </c>
      <c r="Q161" s="283">
        <f t="shared" si="16"/>
        <v>99450.795066907391</v>
      </c>
      <c r="R161" s="283">
        <f t="shared" si="17"/>
        <v>106193.22185110451</v>
      </c>
      <c r="S161" s="262">
        <v>80438.600000000006</v>
      </c>
      <c r="T161" s="33"/>
    </row>
    <row r="162" spans="2:20" ht="25.5" customHeight="1" x14ac:dyDescent="0.25">
      <c r="B162" s="34">
        <v>155</v>
      </c>
      <c r="C162" s="88">
        <v>190.1</v>
      </c>
      <c r="D162" s="82" t="s">
        <v>451</v>
      </c>
      <c r="E162" s="88" t="s">
        <v>157</v>
      </c>
      <c r="F162" s="41"/>
      <c r="G162" s="41"/>
      <c r="H162" s="41" t="s">
        <v>915</v>
      </c>
      <c r="I162" s="88" t="s">
        <v>916</v>
      </c>
      <c r="J162" s="283">
        <v>51537.58</v>
      </c>
      <c r="K162" s="284">
        <f t="shared" si="19"/>
        <v>1.0057349192863212</v>
      </c>
      <c r="L162" s="285">
        <f>$U$8</f>
        <v>5.7349192863212217E-3</v>
      </c>
      <c r="M162" s="283">
        <f t="shared" si="14"/>
        <v>51833.143861512326</v>
      </c>
      <c r="N162" s="283" t="s">
        <v>933</v>
      </c>
      <c r="O162" s="253">
        <f t="shared" si="18"/>
        <v>51833.143861512326</v>
      </c>
      <c r="P162" s="283" t="s">
        <v>918</v>
      </c>
      <c r="Q162" s="283">
        <f t="shared" si="16"/>
        <v>61163.109756584541</v>
      </c>
      <c r="R162" s="283">
        <f t="shared" si="17"/>
        <v>65309.761265505535</v>
      </c>
      <c r="S162" s="33">
        <v>51537.58</v>
      </c>
      <c r="T162" s="33">
        <v>49057.18</v>
      </c>
    </row>
    <row r="163" spans="2:20" customFormat="1" ht="25.5" customHeight="1" x14ac:dyDescent="0.25">
      <c r="B163" s="34">
        <v>156</v>
      </c>
      <c r="C163" s="41" t="s">
        <v>476</v>
      </c>
      <c r="D163" s="57" t="s">
        <v>477</v>
      </c>
      <c r="E163" s="89" t="s">
        <v>157</v>
      </c>
      <c r="F163" s="299"/>
      <c r="G163" s="299"/>
      <c r="H163" s="41" t="s">
        <v>924</v>
      </c>
      <c r="I163" s="299" t="s">
        <v>916</v>
      </c>
      <c r="J163" s="283">
        <v>57207.677799999998</v>
      </c>
      <c r="K163" s="284">
        <f t="shared" si="19"/>
        <v>1.0267365704887732</v>
      </c>
      <c r="L163" s="285">
        <f t="shared" ref="L163:L169" si="21">$L$3</f>
        <v>2.6736570488773183E-2</v>
      </c>
      <c r="M163" s="283">
        <f t="shared" si="14"/>
        <v>58737.214909998722</v>
      </c>
      <c r="N163" s="283" t="s">
        <v>939</v>
      </c>
      <c r="O163" s="253">
        <f t="shared" si="18"/>
        <v>58737.214909998722</v>
      </c>
      <c r="P163" s="283" t="s">
        <v>918</v>
      </c>
      <c r="Q163" s="283">
        <f t="shared" si="16"/>
        <v>69309.913593798483</v>
      </c>
      <c r="R163" s="283">
        <f t="shared" si="17"/>
        <v>74008.890786598393</v>
      </c>
      <c r="S163" s="33"/>
      <c r="T163" s="33">
        <f>COUNT(#REF!)</f>
        <v>0</v>
      </c>
    </row>
    <row r="164" spans="2:20" customFormat="1" ht="25.5" customHeight="1" x14ac:dyDescent="0.25">
      <c r="B164" s="34">
        <v>157</v>
      </c>
      <c r="C164" s="84" t="s">
        <v>1127</v>
      </c>
      <c r="D164" s="57" t="s">
        <v>1128</v>
      </c>
      <c r="E164" s="89" t="s">
        <v>157</v>
      </c>
      <c r="F164" s="299"/>
      <c r="G164" s="299"/>
      <c r="H164" s="41" t="s">
        <v>924</v>
      </c>
      <c r="I164" s="299" t="s">
        <v>916</v>
      </c>
      <c r="J164" s="283">
        <v>45861</v>
      </c>
      <c r="K164" s="284">
        <f t="shared" si="19"/>
        <v>1.0267365704887732</v>
      </c>
      <c r="L164" s="285">
        <f t="shared" si="21"/>
        <v>2.6736570488773183E-2</v>
      </c>
      <c r="M164" s="283">
        <f t="shared" si="14"/>
        <v>47087.165859185625</v>
      </c>
      <c r="N164" s="283" t="s">
        <v>939</v>
      </c>
      <c r="O164" s="253">
        <f t="shared" si="18"/>
        <v>47087.165859185625</v>
      </c>
      <c r="P164" s="283" t="s">
        <v>918</v>
      </c>
      <c r="Q164" s="283">
        <f t="shared" si="16"/>
        <v>55562.855713839032</v>
      </c>
      <c r="R164" s="283">
        <f t="shared" si="17"/>
        <v>59329.82898257389</v>
      </c>
      <c r="S164" s="33"/>
      <c r="T164" s="33">
        <f>COUNT(#REF!)</f>
        <v>0</v>
      </c>
    </row>
    <row r="165" spans="2:20" customFormat="1" ht="25.5" customHeight="1" x14ac:dyDescent="0.25">
      <c r="B165" s="34">
        <v>158</v>
      </c>
      <c r="C165" s="34" t="s">
        <v>335</v>
      </c>
      <c r="D165" s="57" t="s">
        <v>474</v>
      </c>
      <c r="E165" s="89" t="s">
        <v>157</v>
      </c>
      <c r="F165" s="299"/>
      <c r="G165" s="299"/>
      <c r="H165" s="41" t="s">
        <v>924</v>
      </c>
      <c r="I165" s="299" t="s">
        <v>916</v>
      </c>
      <c r="J165" s="283">
        <v>34395.9</v>
      </c>
      <c r="K165" s="284">
        <f t="shared" si="19"/>
        <v>1.0267365704887732</v>
      </c>
      <c r="L165" s="285">
        <f t="shared" si="21"/>
        <v>2.6736570488773183E-2</v>
      </c>
      <c r="M165" s="283">
        <f t="shared" si="14"/>
        <v>35315.528404874793</v>
      </c>
      <c r="N165" s="283" t="s">
        <v>939</v>
      </c>
      <c r="O165" s="253">
        <f t="shared" si="18"/>
        <v>35315.528404874793</v>
      </c>
      <c r="P165" s="283" t="s">
        <v>918</v>
      </c>
      <c r="Q165" s="283">
        <f t="shared" si="16"/>
        <v>41672.323517752251</v>
      </c>
      <c r="R165" s="283">
        <f t="shared" si="17"/>
        <v>44497.565790142238</v>
      </c>
      <c r="S165" s="33"/>
      <c r="T165" s="33">
        <f>COUNT(#REF!)</f>
        <v>0</v>
      </c>
    </row>
    <row r="166" spans="2:20" customFormat="1" ht="25.5" customHeight="1" x14ac:dyDescent="0.25">
      <c r="B166" s="34">
        <v>159</v>
      </c>
      <c r="C166" s="84" t="s">
        <v>332</v>
      </c>
      <c r="D166" s="57" t="s">
        <v>472</v>
      </c>
      <c r="E166" s="89" t="s">
        <v>157</v>
      </c>
      <c r="F166" s="299"/>
      <c r="G166" s="299"/>
      <c r="H166" s="41" t="s">
        <v>924</v>
      </c>
      <c r="I166" s="299" t="s">
        <v>916</v>
      </c>
      <c r="J166" s="283">
        <v>17198</v>
      </c>
      <c r="K166" s="284">
        <f t="shared" si="19"/>
        <v>1.0267365704887732</v>
      </c>
      <c r="L166" s="285">
        <f t="shared" si="21"/>
        <v>2.6736570488773183E-2</v>
      </c>
      <c r="M166" s="283">
        <f t="shared" si="14"/>
        <v>17657.815539265921</v>
      </c>
      <c r="N166" s="283" t="s">
        <v>939</v>
      </c>
      <c r="O166" s="253">
        <f t="shared" si="18"/>
        <v>17657.815539265921</v>
      </c>
      <c r="P166" s="283" t="s">
        <v>918</v>
      </c>
      <c r="Q166" s="283">
        <f t="shared" si="16"/>
        <v>20836.222336333787</v>
      </c>
      <c r="R166" s="283">
        <f t="shared" si="17"/>
        <v>22248.847579475059</v>
      </c>
      <c r="S166" s="33"/>
      <c r="T166" s="33">
        <f>COUNT(#REF!)</f>
        <v>0</v>
      </c>
    </row>
    <row r="167" spans="2:20" customFormat="1" ht="25.5" customHeight="1" x14ac:dyDescent="0.25">
      <c r="B167" s="34">
        <v>160</v>
      </c>
      <c r="C167" s="34" t="s">
        <v>329</v>
      </c>
      <c r="D167" s="57" t="s">
        <v>471</v>
      </c>
      <c r="E167" s="89" t="s">
        <v>157</v>
      </c>
      <c r="F167" s="299"/>
      <c r="G167" s="299"/>
      <c r="H167" s="41" t="s">
        <v>924</v>
      </c>
      <c r="I167" s="299" t="s">
        <v>916</v>
      </c>
      <c r="J167" s="283">
        <v>13758</v>
      </c>
      <c r="K167" s="284">
        <f t="shared" si="19"/>
        <v>1.0267365704887732</v>
      </c>
      <c r="L167" s="285">
        <f t="shared" si="21"/>
        <v>2.6736570488773183E-2</v>
      </c>
      <c r="M167" s="283">
        <f t="shared" si="14"/>
        <v>14125.841736784541</v>
      </c>
      <c r="N167" s="283" t="s">
        <v>939</v>
      </c>
      <c r="O167" s="253">
        <f t="shared" si="18"/>
        <v>14125.841736784541</v>
      </c>
      <c r="P167" s="283" t="s">
        <v>918</v>
      </c>
      <c r="Q167" s="283">
        <f t="shared" si="16"/>
        <v>16668.493249405758</v>
      </c>
      <c r="R167" s="283">
        <f t="shared" si="17"/>
        <v>17798.560588348522</v>
      </c>
      <c r="S167" s="33"/>
      <c r="T167" s="33">
        <f>COUNT(#REF!)</f>
        <v>0</v>
      </c>
    </row>
    <row r="168" spans="2:20" customFormat="1" ht="25.5" customHeight="1" x14ac:dyDescent="0.25">
      <c r="B168" s="34">
        <v>161</v>
      </c>
      <c r="C168" s="34" t="s">
        <v>1129</v>
      </c>
      <c r="D168" s="57" t="s">
        <v>1130</v>
      </c>
      <c r="E168" s="89" t="s">
        <v>158</v>
      </c>
      <c r="F168" s="299"/>
      <c r="G168" s="299"/>
      <c r="H168" s="41" t="s">
        <v>924</v>
      </c>
      <c r="I168" s="88" t="s">
        <v>916</v>
      </c>
      <c r="J168" s="283">
        <v>10498</v>
      </c>
      <c r="K168" s="284">
        <f t="shared" si="19"/>
        <v>1</v>
      </c>
      <c r="L168" s="285">
        <v>0</v>
      </c>
      <c r="M168" s="283">
        <f t="shared" si="14"/>
        <v>10498</v>
      </c>
      <c r="N168" s="88" t="s">
        <v>1071</v>
      </c>
      <c r="O168" s="253">
        <f t="shared" si="18"/>
        <v>10498</v>
      </c>
      <c r="P168" s="283" t="s">
        <v>918</v>
      </c>
      <c r="Q168" s="283"/>
      <c r="R168" s="283"/>
      <c r="S168" s="33"/>
      <c r="T168" s="33"/>
    </row>
    <row r="169" spans="2:20" ht="15" customHeight="1" x14ac:dyDescent="0.25">
      <c r="B169" s="34">
        <v>162</v>
      </c>
      <c r="C169" s="41">
        <v>120.1</v>
      </c>
      <c r="D169" s="251" t="s">
        <v>342</v>
      </c>
      <c r="E169" s="41" t="s">
        <v>158</v>
      </c>
      <c r="F169" s="41"/>
      <c r="G169" s="41"/>
      <c r="H169" s="41" t="s">
        <v>915</v>
      </c>
      <c r="I169" s="88" t="s">
        <v>930</v>
      </c>
      <c r="J169" s="283">
        <v>33.987499999999997</v>
      </c>
      <c r="K169" s="284">
        <f t="shared" si="19"/>
        <v>1.0267365704887732</v>
      </c>
      <c r="L169" s="285">
        <f t="shared" si="21"/>
        <v>2.6736570488773183E-2</v>
      </c>
      <c r="M169" s="283">
        <f t="shared" si="14"/>
        <v>34.896209189487173</v>
      </c>
      <c r="N169" s="283" t="s">
        <v>961</v>
      </c>
      <c r="O169" s="253">
        <f t="shared" si="18"/>
        <v>34.896209189487173</v>
      </c>
      <c r="P169" s="283" t="s">
        <v>918</v>
      </c>
      <c r="Q169" s="283">
        <f t="shared" ref="Q169:Q227" si="22">M169*1.18</f>
        <v>41.177526843594862</v>
      </c>
      <c r="R169" s="283">
        <f t="shared" ref="R169:R227" si="23">M169*1.26</f>
        <v>43.969223578753841</v>
      </c>
      <c r="S169" s="33"/>
      <c r="T169" s="33"/>
    </row>
    <row r="170" spans="2:20" ht="38.25" customHeight="1" x14ac:dyDescent="0.25">
      <c r="B170" s="34">
        <v>163</v>
      </c>
      <c r="C170" s="72">
        <v>113.1</v>
      </c>
      <c r="D170" s="82" t="s">
        <v>1131</v>
      </c>
      <c r="E170" s="41" t="s">
        <v>158</v>
      </c>
      <c r="F170" s="41"/>
      <c r="G170" s="41"/>
      <c r="H170" s="41" t="s">
        <v>915</v>
      </c>
      <c r="I170" s="88" t="s">
        <v>916</v>
      </c>
      <c r="J170" s="283">
        <v>73418</v>
      </c>
      <c r="K170" s="284">
        <f t="shared" si="19"/>
        <v>1.0657773317498953</v>
      </c>
      <c r="L170" s="285">
        <f>$L$2</f>
        <v>6.5777331749895404E-2</v>
      </c>
      <c r="M170" s="283">
        <f t="shared" si="14"/>
        <v>78247.240142413808</v>
      </c>
      <c r="N170" s="283" t="s">
        <v>936</v>
      </c>
      <c r="O170" s="253">
        <f t="shared" si="18"/>
        <v>78247.240142413808</v>
      </c>
      <c r="P170" s="283" t="s">
        <v>918</v>
      </c>
      <c r="Q170" s="283">
        <f t="shared" si="22"/>
        <v>92331.743368048294</v>
      </c>
      <c r="R170" s="283">
        <f t="shared" si="23"/>
        <v>98591.5225794414</v>
      </c>
      <c r="S170" s="33"/>
      <c r="T170" s="33"/>
    </row>
    <row r="171" spans="2:20" ht="38.25" customHeight="1" x14ac:dyDescent="0.25">
      <c r="B171" s="34">
        <v>164</v>
      </c>
      <c r="C171" s="86">
        <v>111.2</v>
      </c>
      <c r="D171" s="82" t="s">
        <v>1132</v>
      </c>
      <c r="E171" s="88" t="s">
        <v>158</v>
      </c>
      <c r="F171" s="41"/>
      <c r="G171" s="41"/>
      <c r="H171" s="41" t="s">
        <v>915</v>
      </c>
      <c r="I171" s="88" t="s">
        <v>916</v>
      </c>
      <c r="J171" s="283">
        <v>64935.5</v>
      </c>
      <c r="K171" s="284">
        <f t="shared" si="19"/>
        <v>1.0267365704887732</v>
      </c>
      <c r="L171" s="285">
        <f>$L$3</f>
        <v>2.6736570488773183E-2</v>
      </c>
      <c r="M171" s="283">
        <f t="shared" si="14"/>
        <v>66671.652572973733</v>
      </c>
      <c r="N171" s="283" t="s">
        <v>933</v>
      </c>
      <c r="O171" s="253">
        <f t="shared" si="18"/>
        <v>66671.652572973733</v>
      </c>
      <c r="P171" s="283" t="s">
        <v>918</v>
      </c>
      <c r="Q171" s="283">
        <f t="shared" si="22"/>
        <v>78672.550036108994</v>
      </c>
      <c r="R171" s="283">
        <f t="shared" si="23"/>
        <v>84006.282241946901</v>
      </c>
      <c r="S171" s="33"/>
      <c r="T171" s="33"/>
    </row>
    <row r="172" spans="2:20" ht="38.25" customHeight="1" x14ac:dyDescent="0.25">
      <c r="B172" s="252">
        <v>165</v>
      </c>
      <c r="C172" s="88">
        <v>105.1</v>
      </c>
      <c r="D172" s="82" t="s">
        <v>1133</v>
      </c>
      <c r="E172" s="88" t="s">
        <v>157</v>
      </c>
      <c r="F172" s="41"/>
      <c r="G172" s="41"/>
      <c r="H172" s="41" t="s">
        <v>915</v>
      </c>
      <c r="I172" s="88" t="s">
        <v>916</v>
      </c>
      <c r="J172" s="283">
        <v>15619.1</v>
      </c>
      <c r="K172" s="284">
        <f t="shared" si="19"/>
        <v>1.0267365704887732</v>
      </c>
      <c r="L172" s="285">
        <f>$L$3</f>
        <v>2.6736570488773183E-2</v>
      </c>
      <c r="M172" s="283">
        <f t="shared" si="14"/>
        <v>16036.701168121197</v>
      </c>
      <c r="N172" s="283" t="s">
        <v>933</v>
      </c>
      <c r="O172" s="253">
        <f t="shared" si="18"/>
        <v>16036.701168121197</v>
      </c>
      <c r="P172" s="283" t="s">
        <v>918</v>
      </c>
      <c r="Q172" s="283">
        <f t="shared" si="22"/>
        <v>18923.307378383011</v>
      </c>
      <c r="R172" s="283">
        <f t="shared" si="23"/>
        <v>20206.243471832709</v>
      </c>
      <c r="S172" s="33">
        <v>18645</v>
      </c>
      <c r="T172" s="33"/>
    </row>
    <row r="173" spans="2:20" ht="51" customHeight="1" x14ac:dyDescent="0.25">
      <c r="B173" s="252">
        <v>166</v>
      </c>
      <c r="C173" s="86">
        <v>112.2</v>
      </c>
      <c r="D173" s="300" t="s">
        <v>1134</v>
      </c>
      <c r="E173" s="88" t="s">
        <v>158</v>
      </c>
      <c r="F173" s="41"/>
      <c r="G173" s="41"/>
      <c r="H173" s="41" t="s">
        <v>915</v>
      </c>
      <c r="I173" s="88" t="s">
        <v>916</v>
      </c>
      <c r="J173" s="283">
        <v>32096.63</v>
      </c>
      <c r="K173" s="284">
        <f t="shared" si="19"/>
        <v>1.0267365704887732</v>
      </c>
      <c r="L173" s="285">
        <f>$L$3</f>
        <v>2.6736570488773183E-2</v>
      </c>
      <c r="M173" s="283">
        <f t="shared" si="14"/>
        <v>32954.783810447072</v>
      </c>
      <c r="N173" s="283" t="s">
        <v>933</v>
      </c>
      <c r="O173" s="253">
        <f t="shared" si="18"/>
        <v>32954.783810447072</v>
      </c>
      <c r="P173" s="283" t="s">
        <v>918</v>
      </c>
      <c r="Q173" s="283">
        <f t="shared" si="22"/>
        <v>38886.64489632754</v>
      </c>
      <c r="R173" s="283">
        <f t="shared" si="23"/>
        <v>41523.02760116331</v>
      </c>
      <c r="S173" s="33">
        <v>26475.87</v>
      </c>
      <c r="T173" s="33"/>
    </row>
    <row r="174" spans="2:20" ht="38.25" customHeight="1" x14ac:dyDescent="0.25">
      <c r="B174" s="252">
        <v>167</v>
      </c>
      <c r="C174" s="86">
        <v>114.1</v>
      </c>
      <c r="D174" s="82" t="s">
        <v>1135</v>
      </c>
      <c r="E174" s="88" t="s">
        <v>158</v>
      </c>
      <c r="F174" s="41"/>
      <c r="G174" s="41"/>
      <c r="H174" s="41" t="s">
        <v>915</v>
      </c>
      <c r="I174" s="88" t="s">
        <v>916</v>
      </c>
      <c r="J174" s="283">
        <v>43762.5</v>
      </c>
      <c r="K174" s="284">
        <f t="shared" si="19"/>
        <v>1.0657773317498953</v>
      </c>
      <c r="L174" s="285">
        <f>$L$2</f>
        <v>6.5777331749895404E-2</v>
      </c>
      <c r="M174" s="283">
        <f t="shared" si="14"/>
        <v>46641.08048070479</v>
      </c>
      <c r="N174" s="283" t="s">
        <v>936</v>
      </c>
      <c r="O174" s="253">
        <f t="shared" si="18"/>
        <v>46641.08048070479</v>
      </c>
      <c r="P174" s="283" t="s">
        <v>918</v>
      </c>
      <c r="Q174" s="283">
        <f t="shared" si="22"/>
        <v>55036.474967231647</v>
      </c>
      <c r="R174" s="283">
        <f t="shared" si="23"/>
        <v>58767.761405688034</v>
      </c>
      <c r="S174" s="33"/>
      <c r="T174" s="33"/>
    </row>
    <row r="175" spans="2:20" ht="25.5" customHeight="1" x14ac:dyDescent="0.25">
      <c r="B175" s="252">
        <v>168</v>
      </c>
      <c r="C175" s="88">
        <v>108.1</v>
      </c>
      <c r="D175" s="82" t="s">
        <v>475</v>
      </c>
      <c r="E175" s="88" t="s">
        <v>157</v>
      </c>
      <c r="F175" s="41"/>
      <c r="G175" s="41"/>
      <c r="H175" s="41" t="s">
        <v>915</v>
      </c>
      <c r="I175" s="88" t="s">
        <v>916</v>
      </c>
      <c r="J175" s="283">
        <v>10836.55</v>
      </c>
      <c r="K175" s="284">
        <f t="shared" si="19"/>
        <v>1.0267365704887732</v>
      </c>
      <c r="L175" s="285">
        <f t="shared" ref="L175:L180" si="24">$L$3</f>
        <v>2.6736570488773183E-2</v>
      </c>
      <c r="M175" s="283">
        <f t="shared" si="14"/>
        <v>11126.282182930114</v>
      </c>
      <c r="N175" s="283" t="s">
        <v>936</v>
      </c>
      <c r="O175" s="253">
        <f t="shared" si="18"/>
        <v>11126.282182930114</v>
      </c>
      <c r="P175" s="283" t="s">
        <v>918</v>
      </c>
      <c r="Q175" s="283">
        <f t="shared" si="22"/>
        <v>13129.012975857533</v>
      </c>
      <c r="R175" s="283">
        <f t="shared" si="23"/>
        <v>14019.115550491944</v>
      </c>
      <c r="S175" s="325">
        <v>22401</v>
      </c>
      <c r="T175" s="33"/>
    </row>
    <row r="176" spans="2:20" ht="25.5" customHeight="1" x14ac:dyDescent="0.25">
      <c r="B176" s="252">
        <v>169</v>
      </c>
      <c r="C176" s="88">
        <v>109.1</v>
      </c>
      <c r="D176" s="82" t="s">
        <v>473</v>
      </c>
      <c r="E176" s="88" t="s">
        <v>157</v>
      </c>
      <c r="F176" s="41"/>
      <c r="G176" s="41"/>
      <c r="H176" s="41" t="s">
        <v>915</v>
      </c>
      <c r="I176" s="88" t="s">
        <v>916</v>
      </c>
      <c r="J176" s="283">
        <v>11064.81</v>
      </c>
      <c r="K176" s="284">
        <f t="shared" si="19"/>
        <v>1.0267365704887732</v>
      </c>
      <c r="L176" s="285">
        <f t="shared" si="24"/>
        <v>2.6736570488773183E-2</v>
      </c>
      <c r="M176" s="283">
        <f t="shared" si="14"/>
        <v>11360.645072509882</v>
      </c>
      <c r="N176" s="283" t="s">
        <v>936</v>
      </c>
      <c r="O176" s="253">
        <f t="shared" si="18"/>
        <v>11360.645072509882</v>
      </c>
      <c r="P176" s="283" t="s">
        <v>918</v>
      </c>
      <c r="Q176" s="283">
        <f t="shared" si="22"/>
        <v>13405.561185561661</v>
      </c>
      <c r="R176" s="283">
        <f t="shared" si="23"/>
        <v>14314.412791362451</v>
      </c>
      <c r="S176" s="325">
        <v>22401</v>
      </c>
      <c r="T176" s="33"/>
    </row>
    <row r="177" spans="2:21" ht="25.5" customHeight="1" x14ac:dyDescent="0.25">
      <c r="B177" s="252">
        <v>170</v>
      </c>
      <c r="C177" s="88">
        <v>110.1</v>
      </c>
      <c r="D177" s="82" t="s">
        <v>470</v>
      </c>
      <c r="E177" s="88" t="s">
        <v>157</v>
      </c>
      <c r="F177" s="41"/>
      <c r="G177" s="41"/>
      <c r="H177" s="41" t="s">
        <v>915</v>
      </c>
      <c r="I177" s="88" t="s">
        <v>916</v>
      </c>
      <c r="J177" s="283">
        <v>12077.84</v>
      </c>
      <c r="K177" s="284">
        <f t="shared" si="19"/>
        <v>1.0267365704887732</v>
      </c>
      <c r="L177" s="285">
        <f t="shared" si="24"/>
        <v>2.6736570488773183E-2</v>
      </c>
      <c r="M177" s="283">
        <f t="shared" si="14"/>
        <v>12400.760020512125</v>
      </c>
      <c r="N177" s="283" t="s">
        <v>936</v>
      </c>
      <c r="O177" s="253">
        <f t="shared" si="18"/>
        <v>12400.760020512125</v>
      </c>
      <c r="P177" s="283" t="s">
        <v>918</v>
      </c>
      <c r="Q177" s="283">
        <f t="shared" si="22"/>
        <v>14632.896824204307</v>
      </c>
      <c r="R177" s="283">
        <f t="shared" si="23"/>
        <v>15624.957625845278</v>
      </c>
      <c r="S177" s="325">
        <v>22401</v>
      </c>
      <c r="T177" s="33"/>
    </row>
    <row r="178" spans="2:21" ht="25.5" customHeight="1" x14ac:dyDescent="0.25">
      <c r="B178" s="252">
        <v>171</v>
      </c>
      <c r="C178" s="88">
        <v>107.1</v>
      </c>
      <c r="D178" s="82" t="s">
        <v>638</v>
      </c>
      <c r="E178" s="88" t="s">
        <v>157</v>
      </c>
      <c r="F178" s="41"/>
      <c r="G178" s="41"/>
      <c r="H178" s="41" t="s">
        <v>915</v>
      </c>
      <c r="I178" s="88" t="s">
        <v>916</v>
      </c>
      <c r="J178" s="283">
        <v>8900</v>
      </c>
      <c r="K178" s="284">
        <f t="shared" si="19"/>
        <v>1.0267365704887732</v>
      </c>
      <c r="L178" s="285">
        <f t="shared" si="24"/>
        <v>2.6736570488773183E-2</v>
      </c>
      <c r="M178" s="283">
        <f t="shared" si="14"/>
        <v>9137.9554773500822</v>
      </c>
      <c r="N178" s="283" t="s">
        <v>936</v>
      </c>
      <c r="O178" s="253">
        <f t="shared" si="18"/>
        <v>9137.9554773500822</v>
      </c>
      <c r="P178" s="283" t="s">
        <v>918</v>
      </c>
      <c r="Q178" s="283">
        <f t="shared" si="22"/>
        <v>10782.787463273096</v>
      </c>
      <c r="R178" s="283">
        <f t="shared" si="23"/>
        <v>11513.823901461104</v>
      </c>
      <c r="S178" s="325">
        <v>7987</v>
      </c>
      <c r="T178" s="33"/>
    </row>
    <row r="179" spans="2:21" ht="25.5" customHeight="1" x14ac:dyDescent="0.25">
      <c r="B179" s="252">
        <v>172</v>
      </c>
      <c r="C179" s="88">
        <v>106.1</v>
      </c>
      <c r="D179" s="82" t="s">
        <v>1136</v>
      </c>
      <c r="E179" s="88" t="s">
        <v>157</v>
      </c>
      <c r="F179" s="41"/>
      <c r="G179" s="41"/>
      <c r="H179" s="41" t="s">
        <v>915</v>
      </c>
      <c r="I179" s="88" t="s">
        <v>916</v>
      </c>
      <c r="J179" s="283">
        <v>893</v>
      </c>
      <c r="K179" s="284">
        <f t="shared" si="19"/>
        <v>1.0267365704887732</v>
      </c>
      <c r="L179" s="285">
        <f t="shared" si="24"/>
        <v>2.6736570488773183E-2</v>
      </c>
      <c r="M179" s="283">
        <f t="shared" si="14"/>
        <v>916.87575744647449</v>
      </c>
      <c r="N179" s="283" t="s">
        <v>933</v>
      </c>
      <c r="O179" s="253">
        <f t="shared" si="18"/>
        <v>916.87575744647449</v>
      </c>
      <c r="P179" s="283" t="s">
        <v>918</v>
      </c>
      <c r="Q179" s="283">
        <f t="shared" si="22"/>
        <v>1081.9133937868398</v>
      </c>
      <c r="R179" s="283">
        <f t="shared" si="23"/>
        <v>1155.2634543825579</v>
      </c>
      <c r="S179" s="325">
        <v>2099.0050000000001</v>
      </c>
      <c r="T179" s="33">
        <v>1028.42</v>
      </c>
      <c r="U179" s="33">
        <v>1070.5999999999999</v>
      </c>
    </row>
    <row r="180" spans="2:21" ht="15" customHeight="1" x14ac:dyDescent="0.25">
      <c r="B180" s="34">
        <v>173</v>
      </c>
      <c r="C180" s="72">
        <v>126.1</v>
      </c>
      <c r="D180" s="251" t="s">
        <v>1137</v>
      </c>
      <c r="E180" s="41" t="s">
        <v>157</v>
      </c>
      <c r="F180" s="41"/>
      <c r="G180" s="41"/>
      <c r="H180" s="41" t="s">
        <v>915</v>
      </c>
      <c r="I180" s="88" t="s">
        <v>930</v>
      </c>
      <c r="J180" s="283">
        <v>4.6432500000000001</v>
      </c>
      <c r="K180" s="284">
        <f t="shared" si="19"/>
        <v>1.0267365704887732</v>
      </c>
      <c r="L180" s="285">
        <f t="shared" si="24"/>
        <v>2.6736570488773183E-2</v>
      </c>
      <c r="M180" s="283">
        <f t="shared" si="14"/>
        <v>4.7673945809219962</v>
      </c>
      <c r="N180" s="283" t="s">
        <v>961</v>
      </c>
      <c r="O180" s="253">
        <f t="shared" si="18"/>
        <v>4.7673945809219962</v>
      </c>
      <c r="P180" s="283" t="s">
        <v>918</v>
      </c>
      <c r="Q180" s="283">
        <f t="shared" si="22"/>
        <v>5.6255256054879554</v>
      </c>
      <c r="R180" s="283">
        <f t="shared" si="23"/>
        <v>6.0069171719617156</v>
      </c>
      <c r="S180" s="33"/>
      <c r="T180" s="33"/>
    </row>
    <row r="181" spans="2:21" customFormat="1" ht="25.5" customHeight="1" x14ac:dyDescent="0.25">
      <c r="B181" s="34">
        <v>174</v>
      </c>
      <c r="C181" s="84" t="s">
        <v>1138</v>
      </c>
      <c r="D181" s="155" t="s">
        <v>1139</v>
      </c>
      <c r="E181" s="89" t="s">
        <v>0</v>
      </c>
      <c r="F181" s="299"/>
      <c r="G181" s="299"/>
      <c r="H181" s="41" t="s">
        <v>924</v>
      </c>
      <c r="I181" s="299" t="s">
        <v>916</v>
      </c>
      <c r="J181" s="283">
        <v>739453</v>
      </c>
      <c r="K181" s="284">
        <f t="shared" si="19"/>
        <v>1.0267365704887732</v>
      </c>
      <c r="L181" s="285">
        <f>$L$3</f>
        <v>2.6736570488773183E-2</v>
      </c>
      <c r="M181" s="283">
        <f t="shared" ref="M181:M244" si="25">J181*K181</f>
        <v>759223.43725763483</v>
      </c>
      <c r="N181" s="283" t="s">
        <v>939</v>
      </c>
      <c r="O181" s="253">
        <f t="shared" si="18"/>
        <v>759223.43725763483</v>
      </c>
      <c r="P181" s="283" t="s">
        <v>918</v>
      </c>
      <c r="Q181" s="283">
        <f t="shared" si="22"/>
        <v>895883.655964009</v>
      </c>
      <c r="R181" s="283">
        <f t="shared" si="23"/>
        <v>956621.53094461991</v>
      </c>
      <c r="S181" s="33"/>
      <c r="T181" s="33">
        <f>COUNT(#REF!)</f>
        <v>0</v>
      </c>
    </row>
    <row r="182" spans="2:21" customFormat="1" ht="25.5" customHeight="1" x14ac:dyDescent="0.25">
      <c r="B182" s="34">
        <v>175</v>
      </c>
      <c r="C182" s="84" t="s">
        <v>1140</v>
      </c>
      <c r="D182" s="155" t="s">
        <v>1141</v>
      </c>
      <c r="E182" s="89" t="s">
        <v>0</v>
      </c>
      <c r="F182" s="299"/>
      <c r="G182" s="299"/>
      <c r="H182" s="41" t="s">
        <v>924</v>
      </c>
      <c r="I182" s="299" t="s">
        <v>916</v>
      </c>
      <c r="J182" s="283">
        <v>1050370</v>
      </c>
      <c r="K182" s="284">
        <f t="shared" si="19"/>
        <v>1.0267365704887732</v>
      </c>
      <c r="L182" s="285">
        <f>$L$3</f>
        <v>2.6736570488773183E-2</v>
      </c>
      <c r="M182" s="283">
        <f t="shared" si="25"/>
        <v>1078453.2915442928</v>
      </c>
      <c r="N182" s="283" t="s">
        <v>939</v>
      </c>
      <c r="O182" s="253">
        <f t="shared" si="18"/>
        <v>1078453.2915442928</v>
      </c>
      <c r="P182" s="283" t="s">
        <v>918</v>
      </c>
      <c r="Q182" s="283">
        <f t="shared" si="22"/>
        <v>1272574.8840222654</v>
      </c>
      <c r="R182" s="283">
        <f t="shared" si="23"/>
        <v>1358851.147345809</v>
      </c>
      <c r="S182" s="33"/>
      <c r="T182" s="33">
        <f>COUNT(#REF!)</f>
        <v>0</v>
      </c>
    </row>
    <row r="183" spans="2:21" customFormat="1" ht="25.5" customHeight="1" x14ac:dyDescent="0.25">
      <c r="B183" s="34">
        <v>176</v>
      </c>
      <c r="C183" s="84" t="s">
        <v>1142</v>
      </c>
      <c r="D183" s="155" t="s">
        <v>1143</v>
      </c>
      <c r="E183" s="89" t="s">
        <v>0</v>
      </c>
      <c r="F183" s="299"/>
      <c r="G183" s="299"/>
      <c r="H183" s="41" t="s">
        <v>924</v>
      </c>
      <c r="I183" s="299" t="s">
        <v>916</v>
      </c>
      <c r="J183" s="283">
        <v>1355749</v>
      </c>
      <c r="K183" s="284">
        <f t="shared" si="19"/>
        <v>1.0267365704887732</v>
      </c>
      <c r="L183" s="285">
        <f>$L$3</f>
        <v>2.6736570488773183E-2</v>
      </c>
      <c r="M183" s="283">
        <f t="shared" si="25"/>
        <v>1391997.0787035837</v>
      </c>
      <c r="N183" s="283" t="s">
        <v>939</v>
      </c>
      <c r="O183" s="253">
        <f t="shared" si="18"/>
        <v>1391997.0787035837</v>
      </c>
      <c r="P183" s="283" t="s">
        <v>918</v>
      </c>
      <c r="Q183" s="283">
        <f t="shared" si="22"/>
        <v>1642556.5528702287</v>
      </c>
      <c r="R183" s="283">
        <f t="shared" si="23"/>
        <v>1753916.3191665155</v>
      </c>
      <c r="S183" s="33"/>
      <c r="T183" s="33">
        <f>COUNT(#REF!)</f>
        <v>0</v>
      </c>
    </row>
    <row r="184" spans="2:21" customFormat="1" ht="25.5" customHeight="1" x14ac:dyDescent="0.25">
      <c r="B184" s="34">
        <v>177</v>
      </c>
      <c r="C184" s="84" t="s">
        <v>1144</v>
      </c>
      <c r="D184" s="155" t="s">
        <v>1145</v>
      </c>
      <c r="E184" s="89" t="s">
        <v>0</v>
      </c>
      <c r="F184" s="299"/>
      <c r="G184" s="299"/>
      <c r="H184" s="41" t="s">
        <v>924</v>
      </c>
      <c r="I184" s="299" t="s">
        <v>916</v>
      </c>
      <c r="J184" s="283">
        <v>1661128</v>
      </c>
      <c r="K184" s="284">
        <f t="shared" si="19"/>
        <v>1.0267365704887732</v>
      </c>
      <c r="L184" s="285">
        <f>$L$3</f>
        <v>2.6736570488773183E-2</v>
      </c>
      <c r="M184" s="283">
        <f t="shared" si="25"/>
        <v>1705540.8658628748</v>
      </c>
      <c r="N184" s="283" t="s">
        <v>939</v>
      </c>
      <c r="O184" s="253">
        <f t="shared" si="18"/>
        <v>1705540.8658628748</v>
      </c>
      <c r="P184" s="283" t="s">
        <v>918</v>
      </c>
      <c r="Q184" s="283">
        <f t="shared" si="22"/>
        <v>2012538.2217181921</v>
      </c>
      <c r="R184" s="283">
        <f t="shared" si="23"/>
        <v>2148981.4909872222</v>
      </c>
      <c r="S184" s="259"/>
      <c r="T184" s="259">
        <f>COUNT(#REF!)</f>
        <v>0</v>
      </c>
    </row>
    <row r="185" spans="2:21" customFormat="1" ht="25.5" customHeight="1" x14ac:dyDescent="0.25">
      <c r="B185" s="34">
        <v>178</v>
      </c>
      <c r="C185" s="34" t="s">
        <v>1146</v>
      </c>
      <c r="D185" s="251" t="s">
        <v>1147</v>
      </c>
      <c r="E185" s="41" t="s">
        <v>234</v>
      </c>
      <c r="F185" s="84"/>
      <c r="G185" s="84"/>
      <c r="H185" s="41" t="s">
        <v>924</v>
      </c>
      <c r="I185" s="252" t="s">
        <v>916</v>
      </c>
      <c r="J185" s="283">
        <v>862814</v>
      </c>
      <c r="K185" s="284">
        <f t="shared" si="19"/>
        <v>1</v>
      </c>
      <c r="L185" s="285">
        <v>0</v>
      </c>
      <c r="M185" s="283">
        <f t="shared" si="25"/>
        <v>862814</v>
      </c>
      <c r="N185" s="88" t="s">
        <v>1071</v>
      </c>
      <c r="O185" s="253">
        <f t="shared" si="18"/>
        <v>862814</v>
      </c>
      <c r="P185" s="283" t="s">
        <v>918</v>
      </c>
      <c r="Q185" s="283">
        <f t="shared" si="22"/>
        <v>1018120.5199999999</v>
      </c>
      <c r="R185" s="283">
        <f t="shared" si="23"/>
        <v>1087145.6399999999</v>
      </c>
      <c r="S185" s="259"/>
      <c r="T185" s="259">
        <f>COUNT(#REF!)</f>
        <v>0</v>
      </c>
    </row>
    <row r="186" spans="2:21" customFormat="1" ht="25.5" customHeight="1" x14ac:dyDescent="0.25">
      <c r="B186" s="34">
        <v>179</v>
      </c>
      <c r="C186" s="84" t="s">
        <v>879</v>
      </c>
      <c r="D186" s="301" t="s">
        <v>880</v>
      </c>
      <c r="E186" s="41" t="s">
        <v>234</v>
      </c>
      <c r="F186" s="84"/>
      <c r="G186" s="84"/>
      <c r="H186" s="41" t="s">
        <v>924</v>
      </c>
      <c r="I186" s="299" t="s">
        <v>916</v>
      </c>
      <c r="J186" s="283">
        <v>2500000</v>
      </c>
      <c r="K186" s="284">
        <f>(1+L186)</f>
        <v>1.0126343788097087</v>
      </c>
      <c r="L186" s="285">
        <f>$V$8</f>
        <v>1.2634378809708687E-2</v>
      </c>
      <c r="M186" s="283">
        <f>J186*K186</f>
        <v>2531585.9470242718</v>
      </c>
      <c r="N186" s="283" t="s">
        <v>925</v>
      </c>
      <c r="O186" s="253">
        <f t="shared" si="18"/>
        <v>2531585.9470242718</v>
      </c>
      <c r="P186" s="283" t="s">
        <v>918</v>
      </c>
      <c r="Q186" s="283">
        <f t="shared" si="22"/>
        <v>2987271.4174886406</v>
      </c>
      <c r="R186" s="283">
        <f t="shared" si="23"/>
        <v>3189798.2932505826</v>
      </c>
      <c r="S186" s="327">
        <v>1664590</v>
      </c>
      <c r="T186" s="259">
        <f>COUNT(#REF!)</f>
        <v>0</v>
      </c>
    </row>
    <row r="187" spans="2:21" customFormat="1" ht="25.5" customHeight="1" x14ac:dyDescent="0.25">
      <c r="B187" s="34">
        <v>180</v>
      </c>
      <c r="C187" s="34" t="s">
        <v>573</v>
      </c>
      <c r="D187" s="251" t="s">
        <v>505</v>
      </c>
      <c r="E187" s="41" t="s">
        <v>234</v>
      </c>
      <c r="F187" s="84"/>
      <c r="G187" s="84"/>
      <c r="H187" s="41" t="s">
        <v>924</v>
      </c>
      <c r="I187" s="252" t="s">
        <v>916</v>
      </c>
      <c r="J187" s="283">
        <v>1572970</v>
      </c>
      <c r="K187" s="284">
        <f>(1+L187)</f>
        <v>1.0126343788097087</v>
      </c>
      <c r="L187" s="285">
        <f>$V$8</f>
        <v>1.2634378809708687E-2</v>
      </c>
      <c r="M187" s="283">
        <f>J187*K187</f>
        <v>1592843.4988363076</v>
      </c>
      <c r="N187" s="283" t="s">
        <v>925</v>
      </c>
      <c r="O187" s="253">
        <f t="shared" si="18"/>
        <v>1592843.4988363076</v>
      </c>
      <c r="P187" s="283" t="s">
        <v>918</v>
      </c>
      <c r="Q187" s="283">
        <f t="shared" si="22"/>
        <v>1879555.3286268427</v>
      </c>
      <c r="R187" s="283">
        <f t="shared" si="23"/>
        <v>2006982.8085337474</v>
      </c>
      <c r="S187" s="33"/>
      <c r="T187" s="33">
        <f>COUNT(#REF!)</f>
        <v>0</v>
      </c>
    </row>
    <row r="188" spans="2:21" customFormat="1" ht="25.5" customHeight="1" x14ac:dyDescent="0.25">
      <c r="B188" s="34">
        <v>181</v>
      </c>
      <c r="C188" s="34" t="s">
        <v>584</v>
      </c>
      <c r="D188" s="251" t="s">
        <v>506</v>
      </c>
      <c r="E188" s="41" t="s">
        <v>234</v>
      </c>
      <c r="F188" s="84"/>
      <c r="G188" s="84"/>
      <c r="H188" s="41" t="s">
        <v>924</v>
      </c>
      <c r="I188" s="252" t="s">
        <v>916</v>
      </c>
      <c r="J188" s="283">
        <v>1234290</v>
      </c>
      <c r="K188" s="284">
        <f>(1+L188)</f>
        <v>1.0126343788097087</v>
      </c>
      <c r="L188" s="285">
        <f>$V$8</f>
        <v>1.2634378809708687E-2</v>
      </c>
      <c r="M188" s="283">
        <f>J188*K188</f>
        <v>1249884.4874210353</v>
      </c>
      <c r="N188" s="283" t="s">
        <v>925</v>
      </c>
      <c r="O188" s="253">
        <f t="shared" si="18"/>
        <v>1249884.4874210353</v>
      </c>
      <c r="P188" s="283" t="s">
        <v>918</v>
      </c>
      <c r="Q188" s="283">
        <f t="shared" si="22"/>
        <v>1474863.6951568215</v>
      </c>
      <c r="R188" s="283">
        <f t="shared" si="23"/>
        <v>1574854.4541505044</v>
      </c>
      <c r="S188" s="33"/>
      <c r="T188" s="33">
        <f>COUNT(#REF!)</f>
        <v>0</v>
      </c>
    </row>
    <row r="189" spans="2:21" customFormat="1" ht="25.5" customHeight="1" x14ac:dyDescent="0.25">
      <c r="B189" s="34">
        <v>182</v>
      </c>
      <c r="C189" s="34" t="s">
        <v>1148</v>
      </c>
      <c r="D189" s="251" t="s">
        <v>1149</v>
      </c>
      <c r="E189" s="41" t="s">
        <v>234</v>
      </c>
      <c r="F189" s="84"/>
      <c r="G189" s="84"/>
      <c r="H189" s="41" t="s">
        <v>924</v>
      </c>
      <c r="I189" s="252" t="s">
        <v>916</v>
      </c>
      <c r="J189" s="283">
        <v>1040950</v>
      </c>
      <c r="K189" s="284">
        <f t="shared" ref="K189:K249" si="26">(1+L189)</f>
        <v>1</v>
      </c>
      <c r="L189" s="285">
        <v>0</v>
      </c>
      <c r="M189" s="283">
        <f t="shared" si="25"/>
        <v>1040950</v>
      </c>
      <c r="N189" s="88" t="s">
        <v>1071</v>
      </c>
      <c r="O189" s="253">
        <f t="shared" si="18"/>
        <v>1040950</v>
      </c>
      <c r="P189" s="283" t="s">
        <v>918</v>
      </c>
      <c r="Q189" s="283">
        <f t="shared" si="22"/>
        <v>1228321</v>
      </c>
      <c r="R189" s="283">
        <f t="shared" si="23"/>
        <v>1311597</v>
      </c>
      <c r="S189" s="259"/>
      <c r="T189" s="259">
        <f>COUNT(#REF!)</f>
        <v>0</v>
      </c>
    </row>
    <row r="190" spans="2:21" customFormat="1" ht="25.5" customHeight="1" x14ac:dyDescent="0.25">
      <c r="B190" s="34">
        <v>183</v>
      </c>
      <c r="C190" s="34" t="s">
        <v>1150</v>
      </c>
      <c r="D190" s="251" t="s">
        <v>1151</v>
      </c>
      <c r="E190" s="41" t="s">
        <v>234</v>
      </c>
      <c r="F190" s="84"/>
      <c r="G190" s="84"/>
      <c r="H190" s="41" t="s">
        <v>924</v>
      </c>
      <c r="I190" s="252" t="s">
        <v>916</v>
      </c>
      <c r="J190" s="283">
        <v>944500</v>
      </c>
      <c r="K190" s="284">
        <f t="shared" si="26"/>
        <v>1</v>
      </c>
      <c r="L190" s="285">
        <v>0</v>
      </c>
      <c r="M190" s="283">
        <f t="shared" si="25"/>
        <v>944500</v>
      </c>
      <c r="N190" s="88" t="s">
        <v>1071</v>
      </c>
      <c r="O190" s="253">
        <f t="shared" si="18"/>
        <v>944500</v>
      </c>
      <c r="P190" s="283" t="s">
        <v>918</v>
      </c>
      <c r="Q190" s="283">
        <f t="shared" si="22"/>
        <v>1114510</v>
      </c>
      <c r="R190" s="283">
        <f t="shared" si="23"/>
        <v>1190070</v>
      </c>
      <c r="S190" s="259"/>
      <c r="T190" s="259">
        <f>COUNT(#REF!)</f>
        <v>0</v>
      </c>
    </row>
    <row r="191" spans="2:21" customFormat="1" ht="25.5" customHeight="1" x14ac:dyDescent="0.25">
      <c r="B191" s="34">
        <v>184</v>
      </c>
      <c r="C191" s="34" t="s">
        <v>1152</v>
      </c>
      <c r="D191" s="82" t="s">
        <v>1153</v>
      </c>
      <c r="E191" s="41" t="s">
        <v>234</v>
      </c>
      <c r="F191" s="84"/>
      <c r="G191" s="84"/>
      <c r="H191" s="41" t="s">
        <v>924</v>
      </c>
      <c r="I191" s="252" t="s">
        <v>916</v>
      </c>
      <c r="J191" s="283">
        <v>856640</v>
      </c>
      <c r="K191" s="284">
        <f t="shared" si="26"/>
        <v>1</v>
      </c>
      <c r="L191" s="285">
        <v>0</v>
      </c>
      <c r="M191" s="283">
        <f>J191*K191</f>
        <v>856640</v>
      </c>
      <c r="N191" s="88" t="s">
        <v>1071</v>
      </c>
      <c r="O191" s="253">
        <f t="shared" si="18"/>
        <v>856640</v>
      </c>
      <c r="P191" s="283" t="s">
        <v>918</v>
      </c>
      <c r="Q191" s="283">
        <f t="shared" si="22"/>
        <v>1010835.2</v>
      </c>
      <c r="R191" s="283">
        <f t="shared" si="23"/>
        <v>1079366.3999999999</v>
      </c>
      <c r="S191" s="33"/>
      <c r="T191" s="33">
        <f>COUNT(#REF!)</f>
        <v>0</v>
      </c>
    </row>
    <row r="192" spans="2:21" customFormat="1" ht="25.5" customHeight="1" x14ac:dyDescent="0.25">
      <c r="B192" s="34">
        <v>185</v>
      </c>
      <c r="C192" s="34" t="s">
        <v>1154</v>
      </c>
      <c r="D192" s="251" t="s">
        <v>1155</v>
      </c>
      <c r="E192" s="41" t="s">
        <v>234</v>
      </c>
      <c r="F192" s="34"/>
      <c r="G192" s="34"/>
      <c r="H192" s="41" t="s">
        <v>924</v>
      </c>
      <c r="I192" s="252" t="s">
        <v>916</v>
      </c>
      <c r="J192" s="283">
        <v>495811</v>
      </c>
      <c r="K192" s="284">
        <f t="shared" si="26"/>
        <v>1</v>
      </c>
      <c r="L192" s="285">
        <v>0</v>
      </c>
      <c r="M192" s="283">
        <f t="shared" si="25"/>
        <v>495811</v>
      </c>
      <c r="N192" s="88" t="s">
        <v>1071</v>
      </c>
      <c r="O192" s="253">
        <f t="shared" ref="O192:O252" si="27">M192</f>
        <v>495811</v>
      </c>
      <c r="P192" s="283" t="s">
        <v>918</v>
      </c>
      <c r="Q192" s="283">
        <f t="shared" si="22"/>
        <v>585056.98</v>
      </c>
      <c r="R192" s="283">
        <f t="shared" si="23"/>
        <v>624721.86</v>
      </c>
      <c r="S192" s="259"/>
      <c r="T192" s="259">
        <f>COUNT(#REF!)</f>
        <v>0</v>
      </c>
    </row>
    <row r="193" spans="2:20" customFormat="1" ht="25.5" customHeight="1" x14ac:dyDescent="0.25">
      <c r="B193" s="34">
        <v>186</v>
      </c>
      <c r="C193" s="41" t="s">
        <v>881</v>
      </c>
      <c r="D193" s="251" t="s">
        <v>882</v>
      </c>
      <c r="E193" s="41" t="s">
        <v>234</v>
      </c>
      <c r="F193" s="34"/>
      <c r="G193" s="34"/>
      <c r="H193" s="41" t="s">
        <v>924</v>
      </c>
      <c r="I193" s="252" t="s">
        <v>916</v>
      </c>
      <c r="J193" s="283">
        <v>1447701.5427000001</v>
      </c>
      <c r="K193" s="284">
        <f t="shared" si="26"/>
        <v>1.0126343788097087</v>
      </c>
      <c r="L193" s="285">
        <f>$V$8</f>
        <v>1.2634378809708687E-2</v>
      </c>
      <c r="M193" s="283">
        <f t="shared" si="25"/>
        <v>1465992.3523938716</v>
      </c>
      <c r="N193" s="283" t="s">
        <v>939</v>
      </c>
      <c r="O193" s="253">
        <f t="shared" si="27"/>
        <v>1465992.3523938716</v>
      </c>
      <c r="P193" s="283" t="s">
        <v>918</v>
      </c>
      <c r="Q193" s="283">
        <f t="shared" si="22"/>
        <v>1729870.9758247684</v>
      </c>
      <c r="R193" s="283">
        <f t="shared" si="23"/>
        <v>1847150.3640162782</v>
      </c>
      <c r="S193" s="259"/>
      <c r="T193" s="259">
        <f>COUNT(#REF!)</f>
        <v>0</v>
      </c>
    </row>
    <row r="194" spans="2:20" customFormat="1" ht="25.5" customHeight="1" x14ac:dyDescent="0.25">
      <c r="B194" s="34">
        <v>187</v>
      </c>
      <c r="C194" s="34" t="s">
        <v>544</v>
      </c>
      <c r="D194" s="82" t="s">
        <v>545</v>
      </c>
      <c r="E194" s="41" t="s">
        <v>234</v>
      </c>
      <c r="F194" s="34"/>
      <c r="G194" s="34"/>
      <c r="H194" s="41" t="s">
        <v>924</v>
      </c>
      <c r="I194" s="252" t="s">
        <v>916</v>
      </c>
      <c r="J194" s="283">
        <v>1044000</v>
      </c>
      <c r="K194" s="284">
        <f>(1+L194)</f>
        <v>1.0274373102440122</v>
      </c>
      <c r="L194" s="285">
        <f>$V$9</f>
        <v>2.7437310244012116E-2</v>
      </c>
      <c r="M194" s="283">
        <f>J194*K194</f>
        <v>1072644.5518947488</v>
      </c>
      <c r="N194" s="283" t="s">
        <v>1057</v>
      </c>
      <c r="O194" s="253">
        <f t="shared" si="27"/>
        <v>1072644.5518947488</v>
      </c>
      <c r="P194" s="283" t="s">
        <v>918</v>
      </c>
      <c r="Q194" s="283">
        <f t="shared" si="22"/>
        <v>1265720.5712358034</v>
      </c>
      <c r="R194" s="283">
        <f t="shared" si="23"/>
        <v>1351532.1353873836</v>
      </c>
      <c r="S194" s="33"/>
      <c r="T194" s="33">
        <f>COUNT(#REF!)</f>
        <v>0</v>
      </c>
    </row>
    <row r="195" spans="2:20" ht="15" customHeight="1" x14ac:dyDescent="0.25">
      <c r="B195" s="34">
        <v>188</v>
      </c>
      <c r="C195" s="72">
        <v>28.1</v>
      </c>
      <c r="D195" s="82" t="s">
        <v>556</v>
      </c>
      <c r="E195" s="41" t="s">
        <v>234</v>
      </c>
      <c r="F195" s="41"/>
      <c r="G195" s="41"/>
      <c r="H195" s="41" t="s">
        <v>915</v>
      </c>
      <c r="I195" s="88" t="s">
        <v>916</v>
      </c>
      <c r="J195" s="283">
        <v>935395.07999999984</v>
      </c>
      <c r="K195" s="284">
        <f>(1+L195)</f>
        <v>1.0126343788097087</v>
      </c>
      <c r="L195" s="285">
        <f>$V$8</f>
        <v>1.2634378809708687E-2</v>
      </c>
      <c r="M195" s="283">
        <f>J195*K195</f>
        <v>947213.21577745769</v>
      </c>
      <c r="N195" s="283" t="s">
        <v>933</v>
      </c>
      <c r="O195" s="253">
        <f t="shared" si="27"/>
        <v>947213.21577745769</v>
      </c>
      <c r="P195" s="283" t="s">
        <v>918</v>
      </c>
      <c r="Q195" s="283">
        <f t="shared" si="22"/>
        <v>1117711.5946174001</v>
      </c>
      <c r="R195" s="283">
        <f t="shared" si="23"/>
        <v>1193488.6518795968</v>
      </c>
      <c r="S195" s="33">
        <v>935395.08000000007</v>
      </c>
      <c r="T195" s="33"/>
    </row>
    <row r="196" spans="2:20" customFormat="1" ht="25.5" customHeight="1" x14ac:dyDescent="0.25">
      <c r="B196" s="34">
        <v>189</v>
      </c>
      <c r="C196" s="34" t="s">
        <v>546</v>
      </c>
      <c r="D196" s="82" t="s">
        <v>547</v>
      </c>
      <c r="E196" s="41" t="s">
        <v>234</v>
      </c>
      <c r="F196" s="34"/>
      <c r="G196" s="34"/>
      <c r="H196" s="41" t="s">
        <v>924</v>
      </c>
      <c r="I196" s="252" t="s">
        <v>916</v>
      </c>
      <c r="J196" s="283">
        <v>808000</v>
      </c>
      <c r="K196" s="284">
        <f>(1+L196)</f>
        <v>1.0274373102440122</v>
      </c>
      <c r="L196" s="285">
        <f>$V$9</f>
        <v>2.7437310244012116E-2</v>
      </c>
      <c r="M196" s="283">
        <f>J196*K196</f>
        <v>830169.34667716187</v>
      </c>
      <c r="N196" s="283" t="s">
        <v>1057</v>
      </c>
      <c r="O196" s="253">
        <f t="shared" si="27"/>
        <v>830169.34667716187</v>
      </c>
      <c r="P196" s="283" t="s">
        <v>918</v>
      </c>
      <c r="Q196" s="283">
        <f t="shared" si="22"/>
        <v>979599.82907905092</v>
      </c>
      <c r="R196" s="283">
        <f t="shared" si="23"/>
        <v>1046013.3768132239</v>
      </c>
      <c r="S196" s="33"/>
      <c r="T196" s="33">
        <f>COUNT(#REF!)</f>
        <v>0</v>
      </c>
    </row>
    <row r="197" spans="2:20" customFormat="1" ht="25.5" customHeight="1" x14ac:dyDescent="0.25">
      <c r="B197" s="34">
        <v>190</v>
      </c>
      <c r="C197" s="34" t="s">
        <v>565</v>
      </c>
      <c r="D197" s="251" t="s">
        <v>566</v>
      </c>
      <c r="E197" s="41" t="s">
        <v>234</v>
      </c>
      <c r="F197" s="34"/>
      <c r="G197" s="34"/>
      <c r="H197" s="41" t="s">
        <v>924</v>
      </c>
      <c r="I197" s="252" t="s">
        <v>916</v>
      </c>
      <c r="J197" s="283">
        <v>500800</v>
      </c>
      <c r="K197" s="284">
        <f>(1+L197)</f>
        <v>1.0126343788097087</v>
      </c>
      <c r="L197" s="285">
        <f>$V$8</f>
        <v>1.2634378809708687E-2</v>
      </c>
      <c r="M197" s="283">
        <f>J197*K197</f>
        <v>507127.29690790211</v>
      </c>
      <c r="N197" s="283" t="s">
        <v>925</v>
      </c>
      <c r="O197" s="253">
        <f t="shared" si="27"/>
        <v>507127.29690790211</v>
      </c>
      <c r="P197" s="283" t="s">
        <v>918</v>
      </c>
      <c r="Q197" s="283">
        <f t="shared" si="22"/>
        <v>598410.21035132441</v>
      </c>
      <c r="R197" s="283">
        <f t="shared" si="23"/>
        <v>638980.39410395664</v>
      </c>
      <c r="S197" s="325">
        <v>556259.14</v>
      </c>
      <c r="T197" s="33">
        <f>COUNT(#REF!)</f>
        <v>0</v>
      </c>
    </row>
    <row r="198" spans="2:20" customFormat="1" ht="25.5" customHeight="1" x14ac:dyDescent="0.25">
      <c r="B198" s="34">
        <v>191</v>
      </c>
      <c r="C198" s="34" t="s">
        <v>1156</v>
      </c>
      <c r="D198" s="251" t="s">
        <v>1157</v>
      </c>
      <c r="E198" s="41" t="s">
        <v>234</v>
      </c>
      <c r="F198" s="34"/>
      <c r="G198" s="34"/>
      <c r="H198" s="41" t="s">
        <v>924</v>
      </c>
      <c r="I198" s="252" t="s">
        <v>916</v>
      </c>
      <c r="J198" s="283">
        <v>441560</v>
      </c>
      <c r="K198" s="284">
        <f>(1+L198)</f>
        <v>1.0126343788097087</v>
      </c>
      <c r="L198" s="285">
        <f>$V$8</f>
        <v>1.2634378809708687E-2</v>
      </c>
      <c r="M198" s="283">
        <f>J198*K198</f>
        <v>447138.83630721498</v>
      </c>
      <c r="N198" s="283" t="s">
        <v>925</v>
      </c>
      <c r="O198" s="253">
        <f t="shared" si="27"/>
        <v>447138.83630721498</v>
      </c>
      <c r="P198" s="283" t="s">
        <v>918</v>
      </c>
      <c r="Q198" s="283">
        <f t="shared" si="22"/>
        <v>527623.82684251363</v>
      </c>
      <c r="R198" s="283">
        <f t="shared" si="23"/>
        <v>563394.93374709086</v>
      </c>
      <c r="S198" s="33"/>
      <c r="T198" s="33">
        <f>COUNT(#REF!)</f>
        <v>0</v>
      </c>
    </row>
    <row r="199" spans="2:20" customFormat="1" ht="25.5" customHeight="1" x14ac:dyDescent="0.25">
      <c r="B199" s="34">
        <v>192</v>
      </c>
      <c r="C199" s="34" t="s">
        <v>1158</v>
      </c>
      <c r="D199" s="251" t="s">
        <v>1159</v>
      </c>
      <c r="E199" s="41" t="s">
        <v>234</v>
      </c>
      <c r="F199" s="34"/>
      <c r="G199" s="34"/>
      <c r="H199" s="41" t="s">
        <v>924</v>
      </c>
      <c r="I199" s="252" t="s">
        <v>916</v>
      </c>
      <c r="J199" s="283">
        <v>190710</v>
      </c>
      <c r="K199" s="284">
        <f t="shared" si="26"/>
        <v>1</v>
      </c>
      <c r="L199" s="285">
        <v>0</v>
      </c>
      <c r="M199" s="283">
        <f t="shared" si="25"/>
        <v>190710</v>
      </c>
      <c r="N199" s="88" t="s">
        <v>1071</v>
      </c>
      <c r="O199" s="253">
        <f t="shared" si="27"/>
        <v>190710</v>
      </c>
      <c r="P199" s="283" t="s">
        <v>918</v>
      </c>
      <c r="Q199" s="283">
        <f t="shared" si="22"/>
        <v>225037.8</v>
      </c>
      <c r="R199" s="283">
        <f t="shared" si="23"/>
        <v>240294.6</v>
      </c>
      <c r="S199" s="259"/>
      <c r="T199" s="259">
        <f>COUNT(#REF!)</f>
        <v>0</v>
      </c>
    </row>
    <row r="200" spans="2:20" customFormat="1" ht="25.5" customHeight="1" x14ac:dyDescent="0.25">
      <c r="B200" s="34">
        <v>193</v>
      </c>
      <c r="C200" s="34" t="s">
        <v>1160</v>
      </c>
      <c r="D200" s="251" t="s">
        <v>1161</v>
      </c>
      <c r="E200" s="41" t="s">
        <v>234</v>
      </c>
      <c r="F200" s="34"/>
      <c r="G200" s="34"/>
      <c r="H200" s="41" t="s">
        <v>924</v>
      </c>
      <c r="I200" s="252" t="s">
        <v>916</v>
      </c>
      <c r="J200" s="283">
        <v>830340</v>
      </c>
      <c r="K200" s="284">
        <f t="shared" si="26"/>
        <v>1.0126343788097087</v>
      </c>
      <c r="L200" s="285">
        <f>$V$8</f>
        <v>1.2634378809708687E-2</v>
      </c>
      <c r="M200" s="283">
        <f t="shared" si="25"/>
        <v>840830.83010085358</v>
      </c>
      <c r="N200" s="283" t="s">
        <v>925</v>
      </c>
      <c r="O200" s="253">
        <f t="shared" si="27"/>
        <v>840830.83010085358</v>
      </c>
      <c r="P200" s="283" t="s">
        <v>918</v>
      </c>
      <c r="Q200" s="283">
        <f t="shared" si="22"/>
        <v>992180.37951900717</v>
      </c>
      <c r="R200" s="283">
        <f t="shared" si="23"/>
        <v>1059446.8459270755</v>
      </c>
      <c r="S200" s="33"/>
      <c r="T200" s="33">
        <f>COUNT(#REF!)</f>
        <v>0</v>
      </c>
    </row>
    <row r="201" spans="2:20" customFormat="1" ht="25.5" customHeight="1" x14ac:dyDescent="0.25">
      <c r="B201" s="34">
        <v>194</v>
      </c>
      <c r="C201" s="34" t="s">
        <v>1162</v>
      </c>
      <c r="D201" s="251" t="s">
        <v>1163</v>
      </c>
      <c r="E201" s="41" t="s">
        <v>234</v>
      </c>
      <c r="F201" s="34"/>
      <c r="G201" s="34"/>
      <c r="H201" s="41" t="s">
        <v>924</v>
      </c>
      <c r="I201" s="252" t="s">
        <v>916</v>
      </c>
      <c r="J201" s="283">
        <v>529990</v>
      </c>
      <c r="K201" s="284">
        <f t="shared" si="26"/>
        <v>1.0126343788097087</v>
      </c>
      <c r="L201" s="285">
        <f>$V$8</f>
        <v>1.2634378809708687E-2</v>
      </c>
      <c r="M201" s="283">
        <f t="shared" si="25"/>
        <v>536686.09442535753</v>
      </c>
      <c r="N201" s="283" t="s">
        <v>925</v>
      </c>
      <c r="O201" s="253">
        <f t="shared" si="27"/>
        <v>536686.09442535753</v>
      </c>
      <c r="P201" s="283" t="s">
        <v>918</v>
      </c>
      <c r="Q201" s="283">
        <f t="shared" si="22"/>
        <v>633289.59142192185</v>
      </c>
      <c r="R201" s="283">
        <f t="shared" si="23"/>
        <v>676224.47897595051</v>
      </c>
      <c r="S201" s="33"/>
      <c r="T201" s="33">
        <f>COUNT(#REF!)</f>
        <v>0</v>
      </c>
    </row>
    <row r="202" spans="2:20" customFormat="1" ht="25.5" customHeight="1" x14ac:dyDescent="0.25">
      <c r="B202" s="34">
        <v>195</v>
      </c>
      <c r="C202" s="34" t="s">
        <v>1164</v>
      </c>
      <c r="D202" s="251" t="s">
        <v>1165</v>
      </c>
      <c r="E202" s="41" t="s">
        <v>234</v>
      </c>
      <c r="F202" s="34"/>
      <c r="G202" s="34"/>
      <c r="H202" s="41" t="s">
        <v>924</v>
      </c>
      <c r="I202" s="252" t="s">
        <v>916</v>
      </c>
      <c r="J202" s="283">
        <v>655710</v>
      </c>
      <c r="K202" s="284">
        <f t="shared" si="26"/>
        <v>1.0126343788097087</v>
      </c>
      <c r="L202" s="285">
        <f>$V$8</f>
        <v>1.2634378809708687E-2</v>
      </c>
      <c r="M202" s="283">
        <f t="shared" si="25"/>
        <v>663994.48852931417</v>
      </c>
      <c r="N202" s="283" t="s">
        <v>925</v>
      </c>
      <c r="O202" s="253">
        <f t="shared" si="27"/>
        <v>663994.48852931417</v>
      </c>
      <c r="P202" s="283" t="s">
        <v>918</v>
      </c>
      <c r="Q202" s="283">
        <f t="shared" si="22"/>
        <v>783513.49646459066</v>
      </c>
      <c r="R202" s="283">
        <f t="shared" si="23"/>
        <v>836633.05554693588</v>
      </c>
      <c r="S202" s="33"/>
      <c r="T202" s="33">
        <f>COUNT(#REF!)</f>
        <v>0</v>
      </c>
    </row>
    <row r="203" spans="2:20" customFormat="1" ht="25.5" customHeight="1" x14ac:dyDescent="0.25">
      <c r="B203" s="34">
        <v>196</v>
      </c>
      <c r="C203" s="34" t="s">
        <v>1166</v>
      </c>
      <c r="D203" s="251" t="s">
        <v>1167</v>
      </c>
      <c r="E203" s="41" t="s">
        <v>234</v>
      </c>
      <c r="F203" s="34"/>
      <c r="G203" s="34"/>
      <c r="H203" s="41" t="s">
        <v>924</v>
      </c>
      <c r="I203" s="252" t="s">
        <v>916</v>
      </c>
      <c r="J203" s="283">
        <v>420980</v>
      </c>
      <c r="K203" s="284">
        <f t="shared" si="26"/>
        <v>1.0126343788097087</v>
      </c>
      <c r="L203" s="285">
        <f>$V$8</f>
        <v>1.2634378809708687E-2</v>
      </c>
      <c r="M203" s="283">
        <f t="shared" si="25"/>
        <v>426298.82079131121</v>
      </c>
      <c r="N203" s="283" t="s">
        <v>925</v>
      </c>
      <c r="O203" s="253">
        <f t="shared" si="27"/>
        <v>426298.82079131121</v>
      </c>
      <c r="P203" s="283" t="s">
        <v>918</v>
      </c>
      <c r="Q203" s="283">
        <f t="shared" si="22"/>
        <v>503032.6085337472</v>
      </c>
      <c r="R203" s="283">
        <f t="shared" si="23"/>
        <v>537136.51419705211</v>
      </c>
      <c r="S203" s="33"/>
      <c r="T203" s="33">
        <f>COUNT(#REF!)</f>
        <v>0</v>
      </c>
    </row>
    <row r="204" spans="2:20" customFormat="1" ht="25.5" customHeight="1" x14ac:dyDescent="0.25">
      <c r="B204" s="34">
        <v>197</v>
      </c>
      <c r="C204" s="41" t="s">
        <v>1168</v>
      </c>
      <c r="D204" s="251" t="s">
        <v>1169</v>
      </c>
      <c r="E204" s="41" t="s">
        <v>234</v>
      </c>
      <c r="F204" s="34"/>
      <c r="G204" s="34"/>
      <c r="H204" s="41" t="s">
        <v>924</v>
      </c>
      <c r="I204" s="252" t="s">
        <v>916</v>
      </c>
      <c r="J204" s="283">
        <v>784944.02</v>
      </c>
      <c r="K204" s="284">
        <f t="shared" si="26"/>
        <v>1.0126343788097087</v>
      </c>
      <c r="L204" s="285">
        <f>$V$8</f>
        <v>1.2634378809708687E-2</v>
      </c>
      <c r="M204" s="283">
        <f t="shared" si="25"/>
        <v>794861.30009309563</v>
      </c>
      <c r="N204" s="283" t="s">
        <v>939</v>
      </c>
      <c r="O204" s="253">
        <f t="shared" si="27"/>
        <v>794861.30009309563</v>
      </c>
      <c r="P204" s="283" t="s">
        <v>918</v>
      </c>
      <c r="Q204" s="283">
        <f t="shared" si="22"/>
        <v>937936.33410985279</v>
      </c>
      <c r="R204" s="283">
        <f t="shared" si="23"/>
        <v>1001525.2381173006</v>
      </c>
      <c r="S204" s="259"/>
      <c r="T204" s="259">
        <f>COUNT(#REF!)</f>
        <v>0</v>
      </c>
    </row>
    <row r="205" spans="2:20" customFormat="1" ht="25.5" customHeight="1" x14ac:dyDescent="0.25">
      <c r="B205" s="252">
        <v>198</v>
      </c>
      <c r="C205" s="41" t="s">
        <v>1170</v>
      </c>
      <c r="D205" s="251" t="s">
        <v>1171</v>
      </c>
      <c r="E205" s="41" t="s">
        <v>234</v>
      </c>
      <c r="F205" s="34"/>
      <c r="G205" s="34"/>
      <c r="H205" s="41" t="s">
        <v>924</v>
      </c>
      <c r="I205" s="252" t="s">
        <v>916</v>
      </c>
      <c r="J205" s="283">
        <v>358000</v>
      </c>
      <c r="K205" s="284">
        <f t="shared" si="26"/>
        <v>1</v>
      </c>
      <c r="L205" s="285">
        <v>0</v>
      </c>
      <c r="M205" s="283">
        <f t="shared" si="25"/>
        <v>358000</v>
      </c>
      <c r="N205" s="88" t="s">
        <v>1172</v>
      </c>
      <c r="O205" s="253">
        <f t="shared" si="27"/>
        <v>358000</v>
      </c>
      <c r="P205" s="283" t="s">
        <v>918</v>
      </c>
      <c r="Q205" s="283">
        <f t="shared" si="22"/>
        <v>422440</v>
      </c>
      <c r="R205" s="283">
        <f t="shared" si="23"/>
        <v>451080</v>
      </c>
      <c r="S205" s="259"/>
      <c r="T205" s="259">
        <f>COUNT(#REF!)</f>
        <v>0</v>
      </c>
    </row>
    <row r="206" spans="2:20" customFormat="1" ht="15" customHeight="1" x14ac:dyDescent="0.25">
      <c r="B206" s="252">
        <v>199</v>
      </c>
      <c r="C206" s="41" t="s">
        <v>1173</v>
      </c>
      <c r="D206" s="251" t="s">
        <v>1174</v>
      </c>
      <c r="E206" s="41" t="s">
        <v>234</v>
      </c>
      <c r="F206" s="34"/>
      <c r="G206" s="34"/>
      <c r="H206" s="41" t="s">
        <v>924</v>
      </c>
      <c r="I206" s="252" t="s">
        <v>916</v>
      </c>
      <c r="J206" s="283">
        <v>292280</v>
      </c>
      <c r="K206" s="284">
        <f>(1+L206)</f>
        <v>1.0274373102440122</v>
      </c>
      <c r="L206" s="285">
        <f>$V$9</f>
        <v>2.7437310244012116E-2</v>
      </c>
      <c r="M206" s="283">
        <f>J206*K206</f>
        <v>300299.37703811988</v>
      </c>
      <c r="N206" s="88" t="s">
        <v>1107</v>
      </c>
      <c r="O206" s="253">
        <f t="shared" si="27"/>
        <v>300299.37703811988</v>
      </c>
      <c r="P206" s="283" t="s">
        <v>918</v>
      </c>
      <c r="Q206" s="283">
        <f t="shared" si="22"/>
        <v>354353.26490498142</v>
      </c>
      <c r="R206" s="283">
        <f t="shared" si="23"/>
        <v>378377.21506803104</v>
      </c>
      <c r="S206" s="259"/>
      <c r="T206" s="259">
        <f>COUNT(#REF!)</f>
        <v>0</v>
      </c>
    </row>
    <row r="207" spans="2:20" customFormat="1" ht="25.5" customHeight="1" x14ac:dyDescent="0.25">
      <c r="B207" s="34">
        <v>200</v>
      </c>
      <c r="C207" s="41" t="s">
        <v>1175</v>
      </c>
      <c r="D207" s="251" t="s">
        <v>1176</v>
      </c>
      <c r="E207" s="41" t="s">
        <v>234</v>
      </c>
      <c r="F207" s="34"/>
      <c r="G207" s="34"/>
      <c r="H207" s="41" t="s">
        <v>924</v>
      </c>
      <c r="I207" s="252" t="s">
        <v>916</v>
      </c>
      <c r="J207" s="283">
        <v>215000</v>
      </c>
      <c r="K207" s="284">
        <f t="shared" si="26"/>
        <v>1</v>
      </c>
      <c r="L207" s="285">
        <v>0</v>
      </c>
      <c r="M207" s="283">
        <f t="shared" si="25"/>
        <v>215000</v>
      </c>
      <c r="N207" s="88" t="s">
        <v>1172</v>
      </c>
      <c r="O207" s="253">
        <f t="shared" si="27"/>
        <v>215000</v>
      </c>
      <c r="P207" s="283" t="s">
        <v>918</v>
      </c>
      <c r="Q207" s="283">
        <f t="shared" si="22"/>
        <v>253700</v>
      </c>
      <c r="R207" s="283">
        <f t="shared" si="23"/>
        <v>270900</v>
      </c>
      <c r="S207" s="259"/>
      <c r="T207" s="259">
        <f>COUNT(#REF!)</f>
        <v>0</v>
      </c>
    </row>
    <row r="208" spans="2:20" customFormat="1" ht="25.5" customHeight="1" x14ac:dyDescent="0.25">
      <c r="B208" s="34">
        <v>201</v>
      </c>
      <c r="C208" s="34" t="s">
        <v>1177</v>
      </c>
      <c r="D208" s="251" t="s">
        <v>1178</v>
      </c>
      <c r="E208" s="41" t="s">
        <v>234</v>
      </c>
      <c r="F208" s="34"/>
      <c r="G208" s="34"/>
      <c r="H208" s="41" t="s">
        <v>924</v>
      </c>
      <c r="I208" s="252" t="s">
        <v>916</v>
      </c>
      <c r="J208" s="283">
        <v>158495</v>
      </c>
      <c r="K208" s="284">
        <f t="shared" si="26"/>
        <v>1</v>
      </c>
      <c r="L208" s="285">
        <v>0</v>
      </c>
      <c r="M208" s="283">
        <f t="shared" si="25"/>
        <v>158495</v>
      </c>
      <c r="N208" s="88" t="s">
        <v>1071</v>
      </c>
      <c r="O208" s="253">
        <f t="shared" si="27"/>
        <v>158495</v>
      </c>
      <c r="P208" s="283" t="s">
        <v>918</v>
      </c>
      <c r="Q208" s="283">
        <f t="shared" si="22"/>
        <v>187024.09999999998</v>
      </c>
      <c r="R208" s="283">
        <f t="shared" si="23"/>
        <v>199703.7</v>
      </c>
      <c r="S208" s="259"/>
      <c r="T208" s="259">
        <f>COUNT(#REF!)</f>
        <v>0</v>
      </c>
    </row>
    <row r="209" spans="2:20" customFormat="1" ht="25.5" customHeight="1" x14ac:dyDescent="0.25">
      <c r="B209" s="34">
        <v>202</v>
      </c>
      <c r="C209" s="34" t="s">
        <v>1179</v>
      </c>
      <c r="D209" s="251" t="s">
        <v>637</v>
      </c>
      <c r="E209" s="41" t="s">
        <v>234</v>
      </c>
      <c r="F209" s="34"/>
      <c r="G209" s="34"/>
      <c r="H209" s="41" t="s">
        <v>924</v>
      </c>
      <c r="I209" s="252" t="s">
        <v>916</v>
      </c>
      <c r="J209" s="283">
        <v>102076</v>
      </c>
      <c r="K209" s="284">
        <f t="shared" si="26"/>
        <v>1</v>
      </c>
      <c r="L209" s="285">
        <v>0</v>
      </c>
      <c r="M209" s="283">
        <f t="shared" si="25"/>
        <v>102076</v>
      </c>
      <c r="N209" s="88" t="s">
        <v>1071</v>
      </c>
      <c r="O209" s="253">
        <f t="shared" si="27"/>
        <v>102076</v>
      </c>
      <c r="P209" s="283" t="s">
        <v>918</v>
      </c>
      <c r="Q209" s="283">
        <f t="shared" si="22"/>
        <v>120449.68</v>
      </c>
      <c r="R209" s="283">
        <f t="shared" si="23"/>
        <v>128615.76</v>
      </c>
      <c r="S209" s="259"/>
      <c r="T209" s="259">
        <f>COUNT(#REF!)</f>
        <v>0</v>
      </c>
    </row>
    <row r="210" spans="2:20" customFormat="1" ht="25.5" customHeight="1" x14ac:dyDescent="0.25">
      <c r="B210" s="34">
        <v>203</v>
      </c>
      <c r="C210" s="34" t="s">
        <v>1180</v>
      </c>
      <c r="D210" s="251" t="s">
        <v>1181</v>
      </c>
      <c r="E210" s="41" t="s">
        <v>234</v>
      </c>
      <c r="F210" s="34"/>
      <c r="G210" s="34"/>
      <c r="H210" s="41" t="s">
        <v>924</v>
      </c>
      <c r="I210" s="252" t="s">
        <v>916</v>
      </c>
      <c r="J210" s="283">
        <v>100000</v>
      </c>
      <c r="K210" s="284">
        <f t="shared" si="26"/>
        <v>1</v>
      </c>
      <c r="L210" s="285">
        <v>0</v>
      </c>
      <c r="M210" s="283">
        <f t="shared" si="25"/>
        <v>100000</v>
      </c>
      <c r="N210" s="283" t="s">
        <v>925</v>
      </c>
      <c r="O210" s="253">
        <f t="shared" si="27"/>
        <v>100000</v>
      </c>
      <c r="P210" s="283" t="s">
        <v>918</v>
      </c>
      <c r="Q210" s="283">
        <f t="shared" si="22"/>
        <v>118000</v>
      </c>
      <c r="R210" s="283">
        <f t="shared" si="23"/>
        <v>126000</v>
      </c>
      <c r="S210" s="33"/>
      <c r="T210" s="33">
        <f>COUNT(#REF!)</f>
        <v>0</v>
      </c>
    </row>
    <row r="211" spans="2:20" customFormat="1" ht="25.5" customHeight="1" x14ac:dyDescent="0.25">
      <c r="B211" s="34">
        <v>204</v>
      </c>
      <c r="C211" s="34" t="s">
        <v>1182</v>
      </c>
      <c r="D211" s="251" t="s">
        <v>1183</v>
      </c>
      <c r="E211" s="41" t="s">
        <v>234</v>
      </c>
      <c r="F211" s="34"/>
      <c r="G211" s="34"/>
      <c r="H211" s="41" t="s">
        <v>924</v>
      </c>
      <c r="I211" s="252" t="s">
        <v>916</v>
      </c>
      <c r="J211" s="283">
        <v>16500</v>
      </c>
      <c r="K211" s="284">
        <f t="shared" si="26"/>
        <v>1</v>
      </c>
      <c r="L211" s="285">
        <v>0</v>
      </c>
      <c r="M211" s="283">
        <f t="shared" si="25"/>
        <v>16500</v>
      </c>
      <c r="N211" s="88" t="s">
        <v>1071</v>
      </c>
      <c r="O211" s="253">
        <f t="shared" si="27"/>
        <v>16500</v>
      </c>
      <c r="P211" s="283" t="s">
        <v>918</v>
      </c>
      <c r="Q211" s="283">
        <f t="shared" si="22"/>
        <v>19470</v>
      </c>
      <c r="R211" s="283">
        <f t="shared" si="23"/>
        <v>20790</v>
      </c>
      <c r="S211" s="259"/>
      <c r="T211" s="259">
        <f>COUNT(#REF!)</f>
        <v>0</v>
      </c>
    </row>
    <row r="212" spans="2:20" customFormat="1" ht="25.5" customHeight="1" x14ac:dyDescent="0.25">
      <c r="B212" s="34">
        <v>205</v>
      </c>
      <c r="C212" s="34" t="s">
        <v>1184</v>
      </c>
      <c r="D212" s="251" t="s">
        <v>1185</v>
      </c>
      <c r="E212" s="41" t="s">
        <v>234</v>
      </c>
      <c r="F212" s="34"/>
      <c r="G212" s="34"/>
      <c r="H212" s="41" t="s">
        <v>924</v>
      </c>
      <c r="I212" s="252" t="s">
        <v>916</v>
      </c>
      <c r="J212" s="283">
        <v>14099</v>
      </c>
      <c r="K212" s="284">
        <f t="shared" si="26"/>
        <v>1</v>
      </c>
      <c r="L212" s="285">
        <v>0</v>
      </c>
      <c r="M212" s="283">
        <f t="shared" si="25"/>
        <v>14099</v>
      </c>
      <c r="N212" s="88" t="s">
        <v>1071</v>
      </c>
      <c r="O212" s="253">
        <f t="shared" si="27"/>
        <v>14099</v>
      </c>
      <c r="P212" s="283" t="s">
        <v>918</v>
      </c>
      <c r="Q212" s="283">
        <f t="shared" si="22"/>
        <v>16636.82</v>
      </c>
      <c r="R212" s="283">
        <f t="shared" si="23"/>
        <v>17764.740000000002</v>
      </c>
      <c r="S212" s="259"/>
      <c r="T212" s="259">
        <f>COUNT(#REF!)</f>
        <v>0</v>
      </c>
    </row>
    <row r="213" spans="2:20" customFormat="1" ht="25.5" customHeight="1" x14ac:dyDescent="0.25">
      <c r="B213" s="34">
        <v>206</v>
      </c>
      <c r="C213" s="34" t="s">
        <v>1186</v>
      </c>
      <c r="D213" s="251" t="s">
        <v>1187</v>
      </c>
      <c r="E213" s="41" t="s">
        <v>234</v>
      </c>
      <c r="F213" s="34"/>
      <c r="G213" s="34"/>
      <c r="H213" s="41" t="s">
        <v>924</v>
      </c>
      <c r="I213" s="252" t="s">
        <v>916</v>
      </c>
      <c r="J213" s="283">
        <v>13000</v>
      </c>
      <c r="K213" s="284">
        <f t="shared" si="26"/>
        <v>1</v>
      </c>
      <c r="L213" s="285">
        <v>0</v>
      </c>
      <c r="M213" s="283">
        <f t="shared" si="25"/>
        <v>13000</v>
      </c>
      <c r="N213" s="283" t="s">
        <v>925</v>
      </c>
      <c r="O213" s="253">
        <f t="shared" si="27"/>
        <v>13000</v>
      </c>
      <c r="P213" s="283" t="s">
        <v>918</v>
      </c>
      <c r="Q213" s="283">
        <f t="shared" si="22"/>
        <v>15340</v>
      </c>
      <c r="R213" s="283">
        <f t="shared" si="23"/>
        <v>16380</v>
      </c>
      <c r="S213" s="33"/>
      <c r="T213" s="33">
        <f>COUNT(#REF!)</f>
        <v>0</v>
      </c>
    </row>
    <row r="214" spans="2:20" customFormat="1" ht="25.5" customHeight="1" x14ac:dyDescent="0.25">
      <c r="B214" s="34">
        <v>207</v>
      </c>
      <c r="C214" s="34" t="s">
        <v>1188</v>
      </c>
      <c r="D214" s="251" t="s">
        <v>1189</v>
      </c>
      <c r="E214" s="41" t="s">
        <v>234</v>
      </c>
      <c r="F214" s="34"/>
      <c r="G214" s="34"/>
      <c r="H214" s="41" t="s">
        <v>924</v>
      </c>
      <c r="I214" s="252" t="s">
        <v>916</v>
      </c>
      <c r="J214" s="283">
        <v>43000</v>
      </c>
      <c r="K214" s="284">
        <f t="shared" si="26"/>
        <v>1</v>
      </c>
      <c r="L214" s="285">
        <v>0</v>
      </c>
      <c r="M214" s="283">
        <f t="shared" si="25"/>
        <v>43000</v>
      </c>
      <c r="N214" s="88" t="s">
        <v>1071</v>
      </c>
      <c r="O214" s="253">
        <f t="shared" si="27"/>
        <v>43000</v>
      </c>
      <c r="P214" s="283" t="s">
        <v>918</v>
      </c>
      <c r="Q214" s="283">
        <f t="shared" si="22"/>
        <v>50740</v>
      </c>
      <c r="R214" s="283">
        <f t="shared" si="23"/>
        <v>54180</v>
      </c>
      <c r="S214" s="259"/>
      <c r="T214" s="259">
        <f>COUNT(#REF!)</f>
        <v>0</v>
      </c>
    </row>
    <row r="215" spans="2:20" customFormat="1" ht="25.5" customHeight="1" x14ac:dyDescent="0.25">
      <c r="B215" s="34">
        <v>208</v>
      </c>
      <c r="C215" s="34" t="s">
        <v>1190</v>
      </c>
      <c r="D215" s="251" t="s">
        <v>1191</v>
      </c>
      <c r="E215" s="41" t="s">
        <v>234</v>
      </c>
      <c r="F215" s="34"/>
      <c r="G215" s="34"/>
      <c r="H215" s="41" t="s">
        <v>924</v>
      </c>
      <c r="I215" s="252" t="s">
        <v>916</v>
      </c>
      <c r="J215" s="283">
        <v>41284</v>
      </c>
      <c r="K215" s="284">
        <f t="shared" si="26"/>
        <v>1</v>
      </c>
      <c r="L215" s="285">
        <v>0</v>
      </c>
      <c r="M215" s="283">
        <f t="shared" si="25"/>
        <v>41284</v>
      </c>
      <c r="N215" s="88" t="s">
        <v>1071</v>
      </c>
      <c r="O215" s="253">
        <f t="shared" si="27"/>
        <v>41284</v>
      </c>
      <c r="P215" s="283" t="s">
        <v>918</v>
      </c>
      <c r="Q215" s="283">
        <f t="shared" si="22"/>
        <v>48715.119999999995</v>
      </c>
      <c r="R215" s="283">
        <f t="shared" si="23"/>
        <v>52017.840000000004</v>
      </c>
      <c r="S215" s="259"/>
      <c r="T215" s="259">
        <f>COUNT(#REF!)</f>
        <v>0</v>
      </c>
    </row>
    <row r="216" spans="2:20" customFormat="1" ht="25.5" customHeight="1" x14ac:dyDescent="0.25">
      <c r="B216" s="252">
        <v>209</v>
      </c>
      <c r="C216" s="41" t="s">
        <v>1192</v>
      </c>
      <c r="D216" s="251" t="s">
        <v>1193</v>
      </c>
      <c r="E216" s="41" t="s">
        <v>234</v>
      </c>
      <c r="F216" s="34"/>
      <c r="G216" s="34"/>
      <c r="H216" s="41" t="s">
        <v>924</v>
      </c>
      <c r="I216" s="252" t="s">
        <v>916</v>
      </c>
      <c r="J216" s="283">
        <v>171033</v>
      </c>
      <c r="K216" s="284">
        <f t="shared" si="26"/>
        <v>1</v>
      </c>
      <c r="L216" s="285">
        <v>0</v>
      </c>
      <c r="M216" s="283">
        <f>J216*K216</f>
        <v>171033</v>
      </c>
      <c r="N216" s="88" t="s">
        <v>1172</v>
      </c>
      <c r="O216" s="253">
        <f>M216</f>
        <v>171033</v>
      </c>
      <c r="P216" s="283" t="s">
        <v>918</v>
      </c>
      <c r="Q216" s="283">
        <f t="shared" si="22"/>
        <v>201818.94</v>
      </c>
      <c r="R216" s="283">
        <f t="shared" si="23"/>
        <v>215501.58</v>
      </c>
      <c r="S216" s="259"/>
      <c r="T216" s="259">
        <f>COUNT(#REF!)</f>
        <v>0</v>
      </c>
    </row>
    <row r="217" spans="2:20" customFormat="1" ht="25.5" customHeight="1" x14ac:dyDescent="0.25">
      <c r="B217" s="34">
        <v>210</v>
      </c>
      <c r="C217" s="34" t="s">
        <v>1194</v>
      </c>
      <c r="D217" s="251" t="s">
        <v>1195</v>
      </c>
      <c r="E217" s="41" t="s">
        <v>234</v>
      </c>
      <c r="F217" s="34"/>
      <c r="G217" s="34"/>
      <c r="H217" s="41" t="s">
        <v>924</v>
      </c>
      <c r="I217" s="252" t="s">
        <v>916</v>
      </c>
      <c r="J217" s="283">
        <v>118331</v>
      </c>
      <c r="K217" s="284">
        <f t="shared" si="26"/>
        <v>1</v>
      </c>
      <c r="L217" s="285">
        <v>0</v>
      </c>
      <c r="M217" s="283">
        <f t="shared" si="25"/>
        <v>118331</v>
      </c>
      <c r="N217" s="88" t="s">
        <v>1172</v>
      </c>
      <c r="O217" s="253">
        <f t="shared" si="27"/>
        <v>118331</v>
      </c>
      <c r="P217" s="283" t="s">
        <v>918</v>
      </c>
      <c r="Q217" s="283">
        <f t="shared" si="22"/>
        <v>139630.57999999999</v>
      </c>
      <c r="R217" s="283">
        <f t="shared" si="23"/>
        <v>149097.06</v>
      </c>
      <c r="S217" s="259"/>
      <c r="T217" s="259">
        <f>COUNT(#REF!)</f>
        <v>0</v>
      </c>
    </row>
    <row r="218" spans="2:20" customFormat="1" ht="25.5" customHeight="1" x14ac:dyDescent="0.25">
      <c r="B218" s="34">
        <v>211</v>
      </c>
      <c r="C218" s="34" t="s">
        <v>1196</v>
      </c>
      <c r="D218" s="251" t="s">
        <v>1197</v>
      </c>
      <c r="E218" s="41" t="s">
        <v>234</v>
      </c>
      <c r="F218" s="34"/>
      <c r="G218" s="34"/>
      <c r="H218" s="41" t="s">
        <v>924</v>
      </c>
      <c r="I218" s="252" t="s">
        <v>916</v>
      </c>
      <c r="J218" s="283">
        <v>76284</v>
      </c>
      <c r="K218" s="284">
        <f t="shared" si="26"/>
        <v>1</v>
      </c>
      <c r="L218" s="285">
        <v>0</v>
      </c>
      <c r="M218" s="283">
        <f t="shared" si="25"/>
        <v>76284</v>
      </c>
      <c r="N218" s="88" t="s">
        <v>1172</v>
      </c>
      <c r="O218" s="253">
        <f t="shared" si="27"/>
        <v>76284</v>
      </c>
      <c r="P218" s="283" t="s">
        <v>918</v>
      </c>
      <c r="Q218" s="283">
        <f t="shared" si="22"/>
        <v>90015.12</v>
      </c>
      <c r="R218" s="283">
        <f t="shared" si="23"/>
        <v>96117.84</v>
      </c>
      <c r="S218" s="259"/>
      <c r="T218" s="259">
        <f>COUNT(#REF!)</f>
        <v>0</v>
      </c>
    </row>
    <row r="219" spans="2:20" customFormat="1" ht="25.5" customHeight="1" x14ac:dyDescent="0.25">
      <c r="B219" s="34">
        <v>212</v>
      </c>
      <c r="C219" s="34" t="s">
        <v>1198</v>
      </c>
      <c r="D219" s="251" t="s">
        <v>1199</v>
      </c>
      <c r="E219" s="41" t="s">
        <v>234</v>
      </c>
      <c r="F219" s="34"/>
      <c r="G219" s="34"/>
      <c r="H219" s="41" t="s">
        <v>924</v>
      </c>
      <c r="I219" s="252" t="s">
        <v>916</v>
      </c>
      <c r="J219" s="283">
        <v>63349</v>
      </c>
      <c r="K219" s="284">
        <f t="shared" si="26"/>
        <v>1</v>
      </c>
      <c r="L219" s="285">
        <v>0</v>
      </c>
      <c r="M219" s="283">
        <f t="shared" si="25"/>
        <v>63349</v>
      </c>
      <c r="N219" s="88" t="s">
        <v>1172</v>
      </c>
      <c r="O219" s="253">
        <f t="shared" si="27"/>
        <v>63349</v>
      </c>
      <c r="P219" s="283" t="s">
        <v>918</v>
      </c>
      <c r="Q219" s="283">
        <f t="shared" si="22"/>
        <v>74751.819999999992</v>
      </c>
      <c r="R219" s="283">
        <f t="shared" si="23"/>
        <v>79819.740000000005</v>
      </c>
      <c r="S219" s="259"/>
      <c r="T219" s="259">
        <f>COUNT(#REF!)</f>
        <v>0</v>
      </c>
    </row>
    <row r="220" spans="2:20" customFormat="1" ht="25.5" customHeight="1" x14ac:dyDescent="0.25">
      <c r="B220" s="34">
        <v>213</v>
      </c>
      <c r="C220" s="34" t="s">
        <v>1200</v>
      </c>
      <c r="D220" s="251" t="s">
        <v>1201</v>
      </c>
      <c r="E220" s="41" t="s">
        <v>234</v>
      </c>
      <c r="F220" s="34"/>
      <c r="G220" s="34"/>
      <c r="H220" s="41" t="s">
        <v>924</v>
      </c>
      <c r="I220" s="252" t="s">
        <v>916</v>
      </c>
      <c r="J220" s="283">
        <v>35052</v>
      </c>
      <c r="K220" s="284">
        <f t="shared" si="26"/>
        <v>1</v>
      </c>
      <c r="L220" s="285">
        <v>0</v>
      </c>
      <c r="M220" s="283">
        <f t="shared" si="25"/>
        <v>35052</v>
      </c>
      <c r="N220" s="88" t="s">
        <v>1172</v>
      </c>
      <c r="O220" s="253">
        <f t="shared" si="27"/>
        <v>35052</v>
      </c>
      <c r="P220" s="283" t="s">
        <v>918</v>
      </c>
      <c r="Q220" s="283">
        <f t="shared" si="22"/>
        <v>41361.360000000001</v>
      </c>
      <c r="R220" s="283">
        <f t="shared" si="23"/>
        <v>44165.52</v>
      </c>
      <c r="S220" s="259"/>
      <c r="T220" s="259">
        <f>COUNT(#REF!)</f>
        <v>0</v>
      </c>
    </row>
    <row r="221" spans="2:20" customFormat="1" ht="25.5" customHeight="1" x14ac:dyDescent="0.25">
      <c r="B221" s="34">
        <v>214</v>
      </c>
      <c r="C221" s="34" t="s">
        <v>1202</v>
      </c>
      <c r="D221" s="251" t="s">
        <v>1203</v>
      </c>
      <c r="E221" s="41" t="s">
        <v>234</v>
      </c>
      <c r="F221" s="34"/>
      <c r="G221" s="34"/>
      <c r="H221" s="41" t="s">
        <v>924</v>
      </c>
      <c r="I221" s="252" t="s">
        <v>916</v>
      </c>
      <c r="J221" s="283">
        <v>112831</v>
      </c>
      <c r="K221" s="284">
        <f t="shared" si="26"/>
        <v>1</v>
      </c>
      <c r="L221" s="285">
        <v>0</v>
      </c>
      <c r="M221" s="283">
        <f>J221*K221</f>
        <v>112831</v>
      </c>
      <c r="N221" s="88" t="s">
        <v>1071</v>
      </c>
      <c r="O221" s="253">
        <f t="shared" si="27"/>
        <v>112831</v>
      </c>
      <c r="P221" s="283" t="s">
        <v>918</v>
      </c>
      <c r="Q221" s="283">
        <f t="shared" si="22"/>
        <v>133140.57999999999</v>
      </c>
      <c r="R221" s="283">
        <f t="shared" si="23"/>
        <v>142167.06</v>
      </c>
      <c r="S221" s="33"/>
      <c r="T221" s="33">
        <f>COUNT(#REF!)</f>
        <v>0</v>
      </c>
    </row>
    <row r="222" spans="2:20" customFormat="1" ht="25.5" customHeight="1" x14ac:dyDescent="0.25">
      <c r="B222" s="34">
        <v>215</v>
      </c>
      <c r="C222" s="34" t="s">
        <v>1204</v>
      </c>
      <c r="D222" s="251" t="s">
        <v>1205</v>
      </c>
      <c r="E222" s="41" t="s">
        <v>234</v>
      </c>
      <c r="F222" s="34"/>
      <c r="G222" s="34"/>
      <c r="H222" s="41" t="s">
        <v>924</v>
      </c>
      <c r="I222" s="252" t="s">
        <v>916</v>
      </c>
      <c r="J222" s="283">
        <v>74277</v>
      </c>
      <c r="K222" s="284">
        <f t="shared" si="26"/>
        <v>1</v>
      </c>
      <c r="L222" s="285">
        <v>0</v>
      </c>
      <c r="M222" s="283">
        <f t="shared" si="25"/>
        <v>74277</v>
      </c>
      <c r="N222" s="88" t="s">
        <v>1071</v>
      </c>
      <c r="O222" s="253">
        <f t="shared" si="27"/>
        <v>74277</v>
      </c>
      <c r="P222" s="283" t="s">
        <v>918</v>
      </c>
      <c r="Q222" s="283">
        <f t="shared" si="22"/>
        <v>87646.86</v>
      </c>
      <c r="R222" s="283">
        <f t="shared" si="23"/>
        <v>93589.02</v>
      </c>
      <c r="S222" s="259"/>
      <c r="T222" s="259">
        <f>COUNT(#REF!)</f>
        <v>0</v>
      </c>
    </row>
    <row r="223" spans="2:20" customFormat="1" ht="25.5" customHeight="1" x14ac:dyDescent="0.25">
      <c r="B223" s="34">
        <v>216</v>
      </c>
      <c r="C223" s="34" t="s">
        <v>1206</v>
      </c>
      <c r="D223" s="251" t="s">
        <v>1207</v>
      </c>
      <c r="E223" s="41" t="s">
        <v>234</v>
      </c>
      <c r="F223" s="34"/>
      <c r="G223" s="34"/>
      <c r="H223" s="41" t="s">
        <v>924</v>
      </c>
      <c r="I223" s="252" t="s">
        <v>916</v>
      </c>
      <c r="J223" s="283">
        <v>51472</v>
      </c>
      <c r="K223" s="284">
        <f t="shared" si="26"/>
        <v>1</v>
      </c>
      <c r="L223" s="285">
        <v>0</v>
      </c>
      <c r="M223" s="283">
        <f t="shared" si="25"/>
        <v>51472</v>
      </c>
      <c r="N223" s="88" t="s">
        <v>1071</v>
      </c>
      <c r="O223" s="253">
        <f t="shared" si="27"/>
        <v>51472</v>
      </c>
      <c r="P223" s="283" t="s">
        <v>918</v>
      </c>
      <c r="Q223" s="283">
        <f t="shared" si="22"/>
        <v>60736.959999999999</v>
      </c>
      <c r="R223" s="283">
        <f t="shared" si="23"/>
        <v>64854.720000000001</v>
      </c>
      <c r="S223" s="259"/>
      <c r="T223" s="259">
        <f>COUNT(#REF!)</f>
        <v>0</v>
      </c>
    </row>
    <row r="224" spans="2:20" customFormat="1" ht="25.5" customHeight="1" x14ac:dyDescent="0.25">
      <c r="B224" s="34">
        <v>217</v>
      </c>
      <c r="C224" s="34" t="s">
        <v>1208</v>
      </c>
      <c r="D224" s="82" t="s">
        <v>1209</v>
      </c>
      <c r="E224" s="41" t="s">
        <v>234</v>
      </c>
      <c r="F224" s="34"/>
      <c r="G224" s="34"/>
      <c r="H224" s="41" t="s">
        <v>924</v>
      </c>
      <c r="I224" s="88" t="s">
        <v>916</v>
      </c>
      <c r="J224" s="283">
        <v>2423000</v>
      </c>
      <c r="K224" s="284">
        <f t="shared" si="26"/>
        <v>1</v>
      </c>
      <c r="L224" s="285">
        <v>0</v>
      </c>
      <c r="M224" s="283">
        <f t="shared" si="25"/>
        <v>2423000</v>
      </c>
      <c r="N224" s="88" t="s">
        <v>1210</v>
      </c>
      <c r="O224" s="253">
        <f t="shared" si="27"/>
        <v>2423000</v>
      </c>
      <c r="P224" s="283" t="s">
        <v>918</v>
      </c>
      <c r="Q224" s="283">
        <f t="shared" si="22"/>
        <v>2859140</v>
      </c>
      <c r="R224" s="283">
        <f t="shared" si="23"/>
        <v>3052980</v>
      </c>
      <c r="S224" s="259"/>
      <c r="T224" s="259"/>
    </row>
    <row r="225" spans="2:20" customFormat="1" ht="25.5" customHeight="1" x14ac:dyDescent="0.25">
      <c r="B225" s="34">
        <v>218</v>
      </c>
      <c r="C225" s="34" t="s">
        <v>1211</v>
      </c>
      <c r="D225" s="82" t="s">
        <v>1212</v>
      </c>
      <c r="E225" s="41" t="s">
        <v>234</v>
      </c>
      <c r="F225" s="34"/>
      <c r="G225" s="34"/>
      <c r="H225" s="41" t="s">
        <v>924</v>
      </c>
      <c r="I225" s="88" t="s">
        <v>916</v>
      </c>
      <c r="J225" s="283">
        <v>1568000</v>
      </c>
      <c r="K225" s="284">
        <f t="shared" si="26"/>
        <v>1</v>
      </c>
      <c r="L225" s="285">
        <v>0</v>
      </c>
      <c r="M225" s="283">
        <f t="shared" si="25"/>
        <v>1568000</v>
      </c>
      <c r="N225" s="88" t="s">
        <v>1210</v>
      </c>
      <c r="O225" s="253">
        <f t="shared" si="27"/>
        <v>1568000</v>
      </c>
      <c r="P225" s="283" t="s">
        <v>918</v>
      </c>
      <c r="Q225" s="283">
        <f t="shared" si="22"/>
        <v>1850240</v>
      </c>
      <c r="R225" s="283">
        <f t="shared" si="23"/>
        <v>1975680</v>
      </c>
      <c r="S225" s="259"/>
      <c r="T225" s="259"/>
    </row>
    <row r="226" spans="2:20" customFormat="1" ht="25.5" customHeight="1" x14ac:dyDescent="0.25">
      <c r="B226" s="34">
        <v>219</v>
      </c>
      <c r="C226" s="34" t="s">
        <v>1213</v>
      </c>
      <c r="D226" s="82" t="s">
        <v>1214</v>
      </c>
      <c r="E226" s="41" t="s">
        <v>234</v>
      </c>
      <c r="F226" s="34"/>
      <c r="G226" s="34"/>
      <c r="H226" s="41" t="s">
        <v>924</v>
      </c>
      <c r="I226" s="88" t="s">
        <v>916</v>
      </c>
      <c r="J226" s="283">
        <v>1062000</v>
      </c>
      <c r="K226" s="284">
        <f t="shared" si="26"/>
        <v>1</v>
      </c>
      <c r="L226" s="285">
        <v>0</v>
      </c>
      <c r="M226" s="283">
        <f t="shared" si="25"/>
        <v>1062000</v>
      </c>
      <c r="N226" s="88" t="s">
        <v>1210</v>
      </c>
      <c r="O226" s="253">
        <f t="shared" si="27"/>
        <v>1062000</v>
      </c>
      <c r="P226" s="283" t="s">
        <v>918</v>
      </c>
      <c r="Q226" s="283">
        <f t="shared" si="22"/>
        <v>1253160</v>
      </c>
      <c r="R226" s="283">
        <f t="shared" si="23"/>
        <v>1338120</v>
      </c>
      <c r="S226" s="259"/>
      <c r="T226" s="259"/>
    </row>
    <row r="227" spans="2:20" customFormat="1" ht="25.5" customHeight="1" x14ac:dyDescent="0.25">
      <c r="B227" s="34">
        <v>220</v>
      </c>
      <c r="C227" s="34" t="s">
        <v>1215</v>
      </c>
      <c r="D227" s="82" t="s">
        <v>1216</v>
      </c>
      <c r="E227" s="41" t="s">
        <v>234</v>
      </c>
      <c r="F227" s="34"/>
      <c r="G227" s="34"/>
      <c r="H227" s="41" t="s">
        <v>924</v>
      </c>
      <c r="I227" s="88" t="s">
        <v>916</v>
      </c>
      <c r="J227" s="283">
        <v>851000</v>
      </c>
      <c r="K227" s="284">
        <f t="shared" si="26"/>
        <v>1</v>
      </c>
      <c r="L227" s="285">
        <v>0</v>
      </c>
      <c r="M227" s="283">
        <f t="shared" si="25"/>
        <v>851000</v>
      </c>
      <c r="N227" s="88" t="s">
        <v>1210</v>
      </c>
      <c r="O227" s="253">
        <f t="shared" si="27"/>
        <v>851000</v>
      </c>
      <c r="P227" s="283" t="s">
        <v>918</v>
      </c>
      <c r="Q227" s="283">
        <f t="shared" si="22"/>
        <v>1004180</v>
      </c>
      <c r="R227" s="283">
        <f t="shared" si="23"/>
        <v>1072260</v>
      </c>
      <c r="S227" s="259"/>
      <c r="T227" s="259"/>
    </row>
    <row r="228" spans="2:20" customFormat="1" ht="25.5" customHeight="1" x14ac:dyDescent="0.25">
      <c r="B228" s="34">
        <v>221</v>
      </c>
      <c r="C228" s="34" t="s">
        <v>1217</v>
      </c>
      <c r="D228" s="251" t="s">
        <v>1218</v>
      </c>
      <c r="E228" s="41" t="s">
        <v>234</v>
      </c>
      <c r="F228" s="84"/>
      <c r="G228" s="84"/>
      <c r="H228" s="41" t="s">
        <v>924</v>
      </c>
      <c r="I228" s="252" t="s">
        <v>916</v>
      </c>
      <c r="J228" s="283">
        <v>1195347</v>
      </c>
      <c r="K228" s="284">
        <f t="shared" si="26"/>
        <v>1</v>
      </c>
      <c r="L228" s="285">
        <v>0</v>
      </c>
      <c r="M228" s="283">
        <f t="shared" si="25"/>
        <v>1195347</v>
      </c>
      <c r="N228" s="88" t="s">
        <v>1071</v>
      </c>
      <c r="O228" s="253">
        <f t="shared" si="27"/>
        <v>1195347</v>
      </c>
      <c r="P228" s="283" t="s">
        <v>918</v>
      </c>
      <c r="Q228" s="283">
        <f t="shared" ref="Q228:Q287" si="28">M228*1.18</f>
        <v>1410509.46</v>
      </c>
      <c r="R228" s="283">
        <f t="shared" ref="R228:R287" si="29">M228*1.26</f>
        <v>1506137.22</v>
      </c>
      <c r="S228" s="259"/>
      <c r="T228" s="259">
        <f>COUNT(#REF!)</f>
        <v>0</v>
      </c>
    </row>
    <row r="229" spans="2:20" customFormat="1" ht="25.5" customHeight="1" x14ac:dyDescent="0.25">
      <c r="B229" s="34">
        <v>222</v>
      </c>
      <c r="C229" s="34" t="s">
        <v>1219</v>
      </c>
      <c r="D229" s="251" t="s">
        <v>1220</v>
      </c>
      <c r="E229" s="41" t="s">
        <v>234</v>
      </c>
      <c r="F229" s="84"/>
      <c r="G229" s="84"/>
      <c r="H229" s="41" t="s">
        <v>924</v>
      </c>
      <c r="I229" s="252" t="s">
        <v>916</v>
      </c>
      <c r="J229" s="283">
        <v>941274</v>
      </c>
      <c r="K229" s="284">
        <f t="shared" si="26"/>
        <v>1</v>
      </c>
      <c r="L229" s="285">
        <v>0</v>
      </c>
      <c r="M229" s="283">
        <f t="shared" si="25"/>
        <v>941274</v>
      </c>
      <c r="N229" s="88" t="s">
        <v>1071</v>
      </c>
      <c r="O229" s="253">
        <f t="shared" si="27"/>
        <v>941274</v>
      </c>
      <c r="P229" s="283" t="s">
        <v>918</v>
      </c>
      <c r="Q229" s="283">
        <f t="shared" si="28"/>
        <v>1110703.3199999998</v>
      </c>
      <c r="R229" s="283">
        <f t="shared" si="29"/>
        <v>1186005.24</v>
      </c>
      <c r="S229" s="259"/>
      <c r="T229" s="259">
        <f>COUNT(#REF!)</f>
        <v>0</v>
      </c>
    </row>
    <row r="230" spans="2:20" customFormat="1" ht="25.5" customHeight="1" x14ac:dyDescent="0.25">
      <c r="B230" s="34">
        <v>223</v>
      </c>
      <c r="C230" s="34" t="s">
        <v>1221</v>
      </c>
      <c r="D230" s="251" t="s">
        <v>1222</v>
      </c>
      <c r="E230" s="41" t="s">
        <v>234</v>
      </c>
      <c r="F230" s="84"/>
      <c r="G230" s="84"/>
      <c r="H230" s="41" t="s">
        <v>924</v>
      </c>
      <c r="I230" s="252" t="s">
        <v>916</v>
      </c>
      <c r="J230" s="283">
        <v>828156</v>
      </c>
      <c r="K230" s="284">
        <f t="shared" si="26"/>
        <v>1</v>
      </c>
      <c r="L230" s="285">
        <v>0</v>
      </c>
      <c r="M230" s="283">
        <f t="shared" si="25"/>
        <v>828156</v>
      </c>
      <c r="N230" s="88" t="s">
        <v>1071</v>
      </c>
      <c r="O230" s="253">
        <f t="shared" si="27"/>
        <v>828156</v>
      </c>
      <c r="P230" s="283" t="s">
        <v>918</v>
      </c>
      <c r="Q230" s="283">
        <f t="shared" si="28"/>
        <v>977224.08</v>
      </c>
      <c r="R230" s="283">
        <f t="shared" si="29"/>
        <v>1043476.56</v>
      </c>
      <c r="S230" s="259"/>
      <c r="T230" s="259">
        <f>COUNT(#REF!)</f>
        <v>0</v>
      </c>
    </row>
    <row r="231" spans="2:20" customFormat="1" ht="25.5" customHeight="1" x14ac:dyDescent="0.25">
      <c r="B231" s="34">
        <v>224</v>
      </c>
      <c r="C231" s="34" t="s">
        <v>1223</v>
      </c>
      <c r="D231" s="251" t="s">
        <v>1224</v>
      </c>
      <c r="E231" s="41" t="s">
        <v>234</v>
      </c>
      <c r="F231" s="34"/>
      <c r="G231" s="34"/>
      <c r="H231" s="41" t="s">
        <v>924</v>
      </c>
      <c r="I231" s="252" t="s">
        <v>916</v>
      </c>
      <c r="J231" s="283">
        <v>827125</v>
      </c>
      <c r="K231" s="284">
        <f t="shared" si="26"/>
        <v>1</v>
      </c>
      <c r="L231" s="285">
        <v>0</v>
      </c>
      <c r="M231" s="283">
        <f t="shared" si="25"/>
        <v>827125</v>
      </c>
      <c r="N231" s="88" t="s">
        <v>1172</v>
      </c>
      <c r="O231" s="253">
        <f t="shared" si="27"/>
        <v>827125</v>
      </c>
      <c r="P231" s="283" t="s">
        <v>918</v>
      </c>
      <c r="Q231" s="283">
        <f t="shared" si="28"/>
        <v>976007.5</v>
      </c>
      <c r="R231" s="283">
        <f t="shared" si="29"/>
        <v>1042177.5</v>
      </c>
      <c r="S231" s="259"/>
      <c r="T231" s="259">
        <f>COUNT(#REF!)</f>
        <v>0</v>
      </c>
    </row>
    <row r="232" spans="2:20" customFormat="1" ht="25.5" customHeight="1" x14ac:dyDescent="0.25">
      <c r="B232" s="34">
        <v>225</v>
      </c>
      <c r="C232" s="34" t="s">
        <v>1225</v>
      </c>
      <c r="D232" s="251" t="s">
        <v>1226</v>
      </c>
      <c r="E232" s="41" t="s">
        <v>234</v>
      </c>
      <c r="F232" s="34"/>
      <c r="G232" s="34"/>
      <c r="H232" s="41" t="s">
        <v>924</v>
      </c>
      <c r="I232" s="252" t="s">
        <v>916</v>
      </c>
      <c r="J232" s="283">
        <v>771845</v>
      </c>
      <c r="K232" s="284">
        <f t="shared" si="26"/>
        <v>1</v>
      </c>
      <c r="L232" s="285">
        <v>0</v>
      </c>
      <c r="M232" s="283">
        <f t="shared" si="25"/>
        <v>771845</v>
      </c>
      <c r="N232" s="88" t="s">
        <v>1071</v>
      </c>
      <c r="O232" s="253">
        <f t="shared" si="27"/>
        <v>771845</v>
      </c>
      <c r="P232" s="283" t="s">
        <v>918</v>
      </c>
      <c r="Q232" s="283">
        <f t="shared" si="28"/>
        <v>910777.1</v>
      </c>
      <c r="R232" s="283">
        <f t="shared" si="29"/>
        <v>972524.7</v>
      </c>
      <c r="S232" s="259"/>
      <c r="T232" s="259">
        <f>COUNT(#REF!)</f>
        <v>0</v>
      </c>
    </row>
    <row r="233" spans="2:20" customFormat="1" ht="25.5" customHeight="1" x14ac:dyDescent="0.25">
      <c r="B233" s="34">
        <v>226</v>
      </c>
      <c r="C233" s="34" t="s">
        <v>1227</v>
      </c>
      <c r="D233" s="251" t="s">
        <v>1228</v>
      </c>
      <c r="E233" s="41" t="s">
        <v>234</v>
      </c>
      <c r="F233" s="34"/>
      <c r="G233" s="34"/>
      <c r="H233" s="41" t="s">
        <v>924</v>
      </c>
      <c r="I233" s="252" t="s">
        <v>916</v>
      </c>
      <c r="J233" s="283">
        <v>655817</v>
      </c>
      <c r="K233" s="284">
        <f t="shared" si="26"/>
        <v>1</v>
      </c>
      <c r="L233" s="285">
        <v>0</v>
      </c>
      <c r="M233" s="283">
        <f t="shared" si="25"/>
        <v>655817</v>
      </c>
      <c r="N233" s="88" t="s">
        <v>1071</v>
      </c>
      <c r="O233" s="253">
        <f t="shared" si="27"/>
        <v>655817</v>
      </c>
      <c r="P233" s="283" t="s">
        <v>918</v>
      </c>
      <c r="Q233" s="283">
        <f t="shared" si="28"/>
        <v>773864.05999999994</v>
      </c>
      <c r="R233" s="283">
        <f t="shared" si="29"/>
        <v>826329.42</v>
      </c>
      <c r="S233" s="259"/>
      <c r="T233" s="259">
        <f>COUNT(#REF!)</f>
        <v>0</v>
      </c>
    </row>
    <row r="234" spans="2:20" customFormat="1" ht="25.5" customHeight="1" x14ac:dyDescent="0.25">
      <c r="B234" s="34">
        <v>227</v>
      </c>
      <c r="C234" s="34" t="s">
        <v>682</v>
      </c>
      <c r="D234" s="251" t="s">
        <v>395</v>
      </c>
      <c r="E234" s="41" t="s">
        <v>234</v>
      </c>
      <c r="F234" s="34"/>
      <c r="G234" s="34"/>
      <c r="H234" s="41" t="s">
        <v>924</v>
      </c>
      <c r="I234" s="252" t="s">
        <v>916</v>
      </c>
      <c r="J234" s="283">
        <v>497574</v>
      </c>
      <c r="K234" s="284">
        <f t="shared" si="26"/>
        <v>1</v>
      </c>
      <c r="L234" s="285">
        <v>0</v>
      </c>
      <c r="M234" s="283">
        <f>J234*K234</f>
        <v>497574</v>
      </c>
      <c r="N234" s="88" t="s">
        <v>1071</v>
      </c>
      <c r="O234" s="253">
        <f t="shared" si="27"/>
        <v>497574</v>
      </c>
      <c r="P234" s="283" t="s">
        <v>918</v>
      </c>
      <c r="Q234" s="283">
        <f t="shared" si="28"/>
        <v>587137.31999999995</v>
      </c>
      <c r="R234" s="283">
        <f t="shared" si="29"/>
        <v>626943.24</v>
      </c>
      <c r="S234" s="33"/>
      <c r="T234" s="33">
        <f>COUNT(#REF!)</f>
        <v>0</v>
      </c>
    </row>
    <row r="235" spans="2:20" customFormat="1" ht="25.5" customHeight="1" x14ac:dyDescent="0.25">
      <c r="B235" s="34">
        <v>228</v>
      </c>
      <c r="C235" s="34" t="s">
        <v>1229</v>
      </c>
      <c r="D235" s="251" t="s">
        <v>1230</v>
      </c>
      <c r="E235" s="41" t="s">
        <v>234</v>
      </c>
      <c r="F235" s="34"/>
      <c r="G235" s="34"/>
      <c r="H235" s="41" t="s">
        <v>924</v>
      </c>
      <c r="I235" s="252" t="s">
        <v>916</v>
      </c>
      <c r="J235" s="283">
        <v>421380</v>
      </c>
      <c r="K235" s="284">
        <f t="shared" si="26"/>
        <v>1</v>
      </c>
      <c r="L235" s="285">
        <v>0</v>
      </c>
      <c r="M235" s="283">
        <f>J235*K235</f>
        <v>421380</v>
      </c>
      <c r="N235" s="88" t="s">
        <v>1071</v>
      </c>
      <c r="O235" s="253">
        <f t="shared" si="27"/>
        <v>421380</v>
      </c>
      <c r="P235" s="283" t="s">
        <v>918</v>
      </c>
      <c r="Q235" s="283">
        <f t="shared" si="28"/>
        <v>497228.39999999997</v>
      </c>
      <c r="R235" s="283">
        <f t="shared" si="29"/>
        <v>530938.80000000005</v>
      </c>
      <c r="S235" s="33"/>
      <c r="T235" s="33">
        <f>COUNT(#REF!)</f>
        <v>0</v>
      </c>
    </row>
    <row r="236" spans="2:20" customFormat="1" ht="25.5" customHeight="1" x14ac:dyDescent="0.25">
      <c r="B236" s="34">
        <v>229</v>
      </c>
      <c r="C236" s="34" t="s">
        <v>683</v>
      </c>
      <c r="D236" s="251" t="s">
        <v>396</v>
      </c>
      <c r="E236" s="41" t="s">
        <v>234</v>
      </c>
      <c r="F236" s="34"/>
      <c r="G236" s="34"/>
      <c r="H236" s="41" t="s">
        <v>924</v>
      </c>
      <c r="I236" s="252" t="s">
        <v>916</v>
      </c>
      <c r="J236" s="283">
        <v>359260</v>
      </c>
      <c r="K236" s="284">
        <f t="shared" si="26"/>
        <v>1</v>
      </c>
      <c r="L236" s="285">
        <v>0</v>
      </c>
      <c r="M236" s="283">
        <f>J236*K236</f>
        <v>359260</v>
      </c>
      <c r="N236" s="88" t="s">
        <v>1071</v>
      </c>
      <c r="O236" s="253">
        <f t="shared" si="27"/>
        <v>359260</v>
      </c>
      <c r="P236" s="283" t="s">
        <v>918</v>
      </c>
      <c r="Q236" s="283">
        <f t="shared" si="28"/>
        <v>423926.8</v>
      </c>
      <c r="R236" s="283">
        <f t="shared" si="29"/>
        <v>452667.6</v>
      </c>
      <c r="S236" s="33"/>
      <c r="T236" s="33">
        <f>COUNT(#REF!)</f>
        <v>0</v>
      </c>
    </row>
    <row r="237" spans="2:20" customFormat="1" ht="25.5" customHeight="1" x14ac:dyDescent="0.25">
      <c r="B237" s="34">
        <v>230</v>
      </c>
      <c r="C237" s="34" t="s">
        <v>1231</v>
      </c>
      <c r="D237" s="251" t="s">
        <v>1232</v>
      </c>
      <c r="E237" s="41" t="s">
        <v>234</v>
      </c>
      <c r="F237" s="34"/>
      <c r="G237" s="34"/>
      <c r="H237" s="41" t="s">
        <v>924</v>
      </c>
      <c r="I237" s="252" t="s">
        <v>916</v>
      </c>
      <c r="J237" s="283">
        <v>323573</v>
      </c>
      <c r="K237" s="284">
        <f t="shared" si="26"/>
        <v>1</v>
      </c>
      <c r="L237" s="285">
        <v>0</v>
      </c>
      <c r="M237" s="283">
        <f t="shared" si="25"/>
        <v>323573</v>
      </c>
      <c r="N237" s="88" t="s">
        <v>1071</v>
      </c>
      <c r="O237" s="253">
        <f t="shared" si="27"/>
        <v>323573</v>
      </c>
      <c r="P237" s="283" t="s">
        <v>918</v>
      </c>
      <c r="Q237" s="283">
        <f t="shared" si="28"/>
        <v>381816.13999999996</v>
      </c>
      <c r="R237" s="283">
        <f t="shared" si="29"/>
        <v>407701.98</v>
      </c>
      <c r="S237" s="259"/>
      <c r="T237" s="259">
        <f>COUNT(#REF!)</f>
        <v>0</v>
      </c>
    </row>
    <row r="238" spans="2:20" customFormat="1" ht="25.5" customHeight="1" x14ac:dyDescent="0.25">
      <c r="B238" s="34">
        <v>231</v>
      </c>
      <c r="C238" s="34" t="s">
        <v>1233</v>
      </c>
      <c r="D238" s="251" t="s">
        <v>1234</v>
      </c>
      <c r="E238" s="41" t="s">
        <v>234</v>
      </c>
      <c r="F238" s="34"/>
      <c r="G238" s="34"/>
      <c r="H238" s="41" t="s">
        <v>924</v>
      </c>
      <c r="I238" s="252" t="s">
        <v>916</v>
      </c>
      <c r="J238" s="283">
        <v>303139</v>
      </c>
      <c r="K238" s="284">
        <f t="shared" si="26"/>
        <v>1</v>
      </c>
      <c r="L238" s="285">
        <v>0</v>
      </c>
      <c r="M238" s="283">
        <f t="shared" si="25"/>
        <v>303139</v>
      </c>
      <c r="N238" s="88" t="s">
        <v>1071</v>
      </c>
      <c r="O238" s="253">
        <f t="shared" si="27"/>
        <v>303139</v>
      </c>
      <c r="P238" s="283" t="s">
        <v>918</v>
      </c>
      <c r="Q238" s="283">
        <f t="shared" si="28"/>
        <v>357704.01999999996</v>
      </c>
      <c r="R238" s="283">
        <f t="shared" si="29"/>
        <v>381955.14</v>
      </c>
      <c r="S238" s="259"/>
      <c r="T238" s="259">
        <f>COUNT(#REF!)</f>
        <v>0</v>
      </c>
    </row>
    <row r="239" spans="2:20" ht="25.5" customHeight="1" x14ac:dyDescent="0.25">
      <c r="B239" s="34">
        <v>232</v>
      </c>
      <c r="C239" s="86">
        <v>29.3</v>
      </c>
      <c r="D239" s="82" t="s">
        <v>622</v>
      </c>
      <c r="E239" s="88" t="s">
        <v>234</v>
      </c>
      <c r="F239" s="34"/>
      <c r="G239" s="34"/>
      <c r="H239" s="41" t="s">
        <v>924</v>
      </c>
      <c r="I239" s="88" t="s">
        <v>916</v>
      </c>
      <c r="J239" s="283">
        <v>129093.0242</v>
      </c>
      <c r="K239" s="284">
        <f t="shared" si="26"/>
        <v>1.0126343788097087</v>
      </c>
      <c r="L239" s="285">
        <f>$V$8</f>
        <v>1.2634378809708687E-2</v>
      </c>
      <c r="M239" s="283">
        <f>J239*K239</f>
        <v>130724.03436943369</v>
      </c>
      <c r="N239" s="283" t="s">
        <v>939</v>
      </c>
      <c r="O239" s="253">
        <f t="shared" si="27"/>
        <v>130724.03436943369</v>
      </c>
      <c r="P239" s="283" t="s">
        <v>918</v>
      </c>
      <c r="Q239" s="283">
        <f t="shared" si="28"/>
        <v>154254.36055593175</v>
      </c>
      <c r="R239" s="283">
        <f t="shared" si="29"/>
        <v>164712.28330548646</v>
      </c>
      <c r="S239" s="327">
        <v>117263.07</v>
      </c>
      <c r="T239" s="259">
        <f>COUNT(#REF!)</f>
        <v>0</v>
      </c>
    </row>
    <row r="240" spans="2:20" customFormat="1" ht="25.5" customHeight="1" x14ac:dyDescent="0.25">
      <c r="B240" s="34">
        <v>233</v>
      </c>
      <c r="C240" s="34" t="s">
        <v>1235</v>
      </c>
      <c r="D240" s="251" t="s">
        <v>1236</v>
      </c>
      <c r="E240" s="41" t="s">
        <v>234</v>
      </c>
      <c r="F240" s="34"/>
      <c r="G240" s="34"/>
      <c r="H240" s="41" t="s">
        <v>924</v>
      </c>
      <c r="I240" s="252" t="s">
        <v>916</v>
      </c>
      <c r="J240" s="283">
        <v>450000</v>
      </c>
      <c r="K240" s="284">
        <f>(1+L240)</f>
        <v>1.0126343788097087</v>
      </c>
      <c r="L240" s="285">
        <f>$V$8</f>
        <v>1.2634378809708687E-2</v>
      </c>
      <c r="M240" s="283">
        <f>J240*K240</f>
        <v>455685.47046436893</v>
      </c>
      <c r="N240" s="283" t="s">
        <v>925</v>
      </c>
      <c r="O240" s="253">
        <f t="shared" si="27"/>
        <v>455685.47046436893</v>
      </c>
      <c r="P240" s="283" t="s">
        <v>918</v>
      </c>
      <c r="Q240" s="283">
        <f t="shared" si="28"/>
        <v>537708.85514795536</v>
      </c>
      <c r="R240" s="283">
        <f t="shared" si="29"/>
        <v>574163.69278510485</v>
      </c>
      <c r="S240" s="33"/>
      <c r="T240" s="33">
        <f>COUNT(#REF!)</f>
        <v>0</v>
      </c>
    </row>
    <row r="241" spans="2:20" customFormat="1" ht="25.5" customHeight="1" x14ac:dyDescent="0.25">
      <c r="B241" s="34">
        <v>234</v>
      </c>
      <c r="C241" s="34" t="s">
        <v>614</v>
      </c>
      <c r="D241" s="251" t="s">
        <v>370</v>
      </c>
      <c r="E241" s="41" t="s">
        <v>234</v>
      </c>
      <c r="F241" s="34"/>
      <c r="G241" s="34"/>
      <c r="H241" s="41" t="s">
        <v>924</v>
      </c>
      <c r="I241" s="252" t="s">
        <v>916</v>
      </c>
      <c r="J241" s="283">
        <v>280105.84000000003</v>
      </c>
      <c r="K241" s="284">
        <f>(1+L241)</f>
        <v>1.0126343788097087</v>
      </c>
      <c r="L241" s="285">
        <f>$V$8</f>
        <v>1.2634378809708687E-2</v>
      </c>
      <c r="M241" s="283">
        <f>J241*K241</f>
        <v>283644.80328937172</v>
      </c>
      <c r="N241" s="283" t="s">
        <v>925</v>
      </c>
      <c r="O241" s="253">
        <f t="shared" si="27"/>
        <v>283644.80328937172</v>
      </c>
      <c r="P241" s="283" t="s">
        <v>918</v>
      </c>
      <c r="Q241" s="283">
        <f t="shared" si="28"/>
        <v>334700.8678814586</v>
      </c>
      <c r="R241" s="283">
        <f t="shared" si="29"/>
        <v>357392.45214460837</v>
      </c>
      <c r="S241" s="33"/>
      <c r="T241" s="33">
        <f>COUNT(#REF!)</f>
        <v>0</v>
      </c>
    </row>
    <row r="242" spans="2:20" customFormat="1" ht="25.5" customHeight="1" x14ac:dyDescent="0.25">
      <c r="B242" s="34">
        <v>235</v>
      </c>
      <c r="C242" s="34" t="s">
        <v>1237</v>
      </c>
      <c r="D242" s="251" t="s">
        <v>1238</v>
      </c>
      <c r="E242" s="41" t="s">
        <v>234</v>
      </c>
      <c r="F242" s="34"/>
      <c r="G242" s="34"/>
      <c r="H242" s="41" t="s">
        <v>924</v>
      </c>
      <c r="I242" s="252" t="s">
        <v>916</v>
      </c>
      <c r="J242" s="283">
        <v>154546.82999999999</v>
      </c>
      <c r="K242" s="284">
        <f>(1+L242)</f>
        <v>1.0126343788097087</v>
      </c>
      <c r="L242" s="285">
        <f>$V$8</f>
        <v>1.2634378809708687E-2</v>
      </c>
      <c r="M242" s="283">
        <f>J242*K242</f>
        <v>156499.43319405965</v>
      </c>
      <c r="N242" s="283" t="s">
        <v>925</v>
      </c>
      <c r="O242" s="253">
        <f t="shared" si="27"/>
        <v>156499.43319405965</v>
      </c>
      <c r="P242" s="283" t="s">
        <v>918</v>
      </c>
      <c r="Q242" s="283">
        <f t="shared" si="28"/>
        <v>184669.33116899038</v>
      </c>
      <c r="R242" s="283">
        <f t="shared" si="29"/>
        <v>197189.28582451516</v>
      </c>
      <c r="S242" s="33">
        <v>106110.18</v>
      </c>
      <c r="T242" s="33">
        <f>COUNT(#REF!)</f>
        <v>0</v>
      </c>
    </row>
    <row r="243" spans="2:20" ht="15" customHeight="1" x14ac:dyDescent="0.25">
      <c r="B243" s="34">
        <v>236</v>
      </c>
      <c r="C243" s="86">
        <v>29.2</v>
      </c>
      <c r="D243" s="82" t="s">
        <v>1239</v>
      </c>
      <c r="E243" s="88" t="s">
        <v>234</v>
      </c>
      <c r="F243" s="41"/>
      <c r="G243" s="41"/>
      <c r="H243" s="41" t="s">
        <v>915</v>
      </c>
      <c r="I243" s="88" t="s">
        <v>916</v>
      </c>
      <c r="J243" s="283">
        <v>70380.310000000012</v>
      </c>
      <c r="K243" s="284">
        <f t="shared" si="26"/>
        <v>1.0126343788097087</v>
      </c>
      <c r="L243" s="285">
        <f>$V$8</f>
        <v>1.2634378809708687E-2</v>
      </c>
      <c r="M243" s="283">
        <f t="shared" si="25"/>
        <v>71269.521497284746</v>
      </c>
      <c r="N243" s="283" t="s">
        <v>933</v>
      </c>
      <c r="O243" s="253">
        <f t="shared" si="27"/>
        <v>71269.521497284746</v>
      </c>
      <c r="P243" s="283" t="s">
        <v>918</v>
      </c>
      <c r="Q243" s="283">
        <f t="shared" si="28"/>
        <v>84098.035366796001</v>
      </c>
      <c r="R243" s="283">
        <f t="shared" si="29"/>
        <v>89799.597086578782</v>
      </c>
      <c r="S243" s="33"/>
      <c r="T243" s="33"/>
    </row>
    <row r="244" spans="2:20" customFormat="1" ht="25.5" customHeight="1" x14ac:dyDescent="0.25">
      <c r="B244" s="34">
        <v>237</v>
      </c>
      <c r="C244" s="34" t="s">
        <v>1240</v>
      </c>
      <c r="D244" s="251" t="s">
        <v>1241</v>
      </c>
      <c r="E244" s="41" t="s">
        <v>234</v>
      </c>
      <c r="F244" s="34"/>
      <c r="G244" s="34"/>
      <c r="H244" s="41" t="s">
        <v>924</v>
      </c>
      <c r="I244" s="252" t="s">
        <v>916</v>
      </c>
      <c r="J244" s="283">
        <v>60965</v>
      </c>
      <c r="K244" s="284">
        <f t="shared" si="26"/>
        <v>1</v>
      </c>
      <c r="L244" s="285">
        <v>0</v>
      </c>
      <c r="M244" s="283">
        <f t="shared" si="25"/>
        <v>60965</v>
      </c>
      <c r="N244" s="88" t="s">
        <v>1071</v>
      </c>
      <c r="O244" s="253">
        <f t="shared" si="27"/>
        <v>60965</v>
      </c>
      <c r="P244" s="283" t="s">
        <v>918</v>
      </c>
      <c r="Q244" s="283">
        <f t="shared" si="28"/>
        <v>71938.7</v>
      </c>
      <c r="R244" s="283">
        <f t="shared" si="29"/>
        <v>76815.899999999994</v>
      </c>
      <c r="S244" s="259"/>
      <c r="T244" s="259">
        <f>COUNT(#REF!)</f>
        <v>0</v>
      </c>
    </row>
    <row r="245" spans="2:20" customFormat="1" ht="25.5" customHeight="1" x14ac:dyDescent="0.25">
      <c r="B245" s="34">
        <v>238</v>
      </c>
      <c r="C245" s="34" t="s">
        <v>1242</v>
      </c>
      <c r="D245" s="251" t="s">
        <v>1243</v>
      </c>
      <c r="E245" s="41" t="s">
        <v>234</v>
      </c>
      <c r="F245" s="34"/>
      <c r="G245" s="34"/>
      <c r="H245" s="41" t="s">
        <v>924</v>
      </c>
      <c r="I245" s="252" t="s">
        <v>916</v>
      </c>
      <c r="J245" s="283">
        <v>45480</v>
      </c>
      <c r="K245" s="284">
        <f t="shared" si="26"/>
        <v>1</v>
      </c>
      <c r="L245" s="285">
        <v>0</v>
      </c>
      <c r="M245" s="283">
        <f t="shared" ref="M245:M305" si="30">J245*K245</f>
        <v>45480</v>
      </c>
      <c r="N245" s="88" t="s">
        <v>1172</v>
      </c>
      <c r="O245" s="253">
        <f t="shared" si="27"/>
        <v>45480</v>
      </c>
      <c r="P245" s="283" t="s">
        <v>918</v>
      </c>
      <c r="Q245" s="283">
        <f t="shared" si="28"/>
        <v>53666.399999999994</v>
      </c>
      <c r="R245" s="283">
        <f t="shared" si="29"/>
        <v>57304.800000000003</v>
      </c>
      <c r="S245" s="259"/>
      <c r="T245" s="259">
        <f>COUNT(#REF!)</f>
        <v>0</v>
      </c>
    </row>
    <row r="246" spans="2:20" ht="15" customHeight="1" x14ac:dyDescent="0.25">
      <c r="B246" s="34">
        <v>239</v>
      </c>
      <c r="C246" s="86">
        <v>29.4</v>
      </c>
      <c r="D246" s="82" t="s">
        <v>1244</v>
      </c>
      <c r="E246" s="88" t="s">
        <v>234</v>
      </c>
      <c r="F246" s="41"/>
      <c r="G246" s="41"/>
      <c r="H246" s="41" t="s">
        <v>915</v>
      </c>
      <c r="I246" s="88" t="s">
        <v>916</v>
      </c>
      <c r="J246" s="283">
        <v>21026.99</v>
      </c>
      <c r="K246" s="284">
        <f t="shared" si="26"/>
        <v>1.0126343788097087</v>
      </c>
      <c r="L246" s="285">
        <f>$V$8</f>
        <v>1.2634378809708687E-2</v>
      </c>
      <c r="M246" s="283">
        <f t="shared" si="30"/>
        <v>21292.65295688796</v>
      </c>
      <c r="N246" s="283" t="s">
        <v>933</v>
      </c>
      <c r="O246" s="253">
        <f t="shared" si="27"/>
        <v>21292.65295688796</v>
      </c>
      <c r="P246" s="283" t="s">
        <v>918</v>
      </c>
      <c r="Q246" s="283">
        <f t="shared" si="28"/>
        <v>25125.330489127791</v>
      </c>
      <c r="R246" s="283">
        <f t="shared" si="29"/>
        <v>26828.742725678829</v>
      </c>
      <c r="S246" s="33"/>
      <c r="T246" s="33"/>
    </row>
    <row r="247" spans="2:20" ht="25.5" customHeight="1" x14ac:dyDescent="0.25">
      <c r="B247" s="34">
        <v>240</v>
      </c>
      <c r="C247" s="41" t="s">
        <v>1245</v>
      </c>
      <c r="D247" s="251" t="s">
        <v>1246</v>
      </c>
      <c r="E247" s="41" t="s">
        <v>157</v>
      </c>
      <c r="F247" s="41"/>
      <c r="G247" s="41"/>
      <c r="H247" s="41" t="s">
        <v>924</v>
      </c>
      <c r="I247" s="88" t="s">
        <v>930</v>
      </c>
      <c r="J247" s="283">
        <v>104.04</v>
      </c>
      <c r="K247" s="284">
        <f t="shared" si="26"/>
        <v>1.0274373102440122</v>
      </c>
      <c r="L247" s="285">
        <f t="shared" ref="L247:L257" si="31">$V$9</f>
        <v>2.7437310244012116E-2</v>
      </c>
      <c r="M247" s="283">
        <f t="shared" si="30"/>
        <v>106.89457775778703</v>
      </c>
      <c r="N247" s="283" t="s">
        <v>1247</v>
      </c>
      <c r="O247" s="253">
        <f t="shared" si="27"/>
        <v>106.89457775778703</v>
      </c>
      <c r="P247" s="283" t="s">
        <v>918</v>
      </c>
      <c r="Q247" s="283">
        <f t="shared" si="28"/>
        <v>126.1356017541887</v>
      </c>
      <c r="R247" s="283">
        <f t="shared" si="29"/>
        <v>134.68716797481167</v>
      </c>
      <c r="T247" s="259">
        <f>COUNT(#REF!)</f>
        <v>0</v>
      </c>
    </row>
    <row r="248" spans="2:20" ht="25.5" customHeight="1" x14ac:dyDescent="0.25">
      <c r="B248" s="34">
        <v>241</v>
      </c>
      <c r="C248" s="41" t="s">
        <v>1248</v>
      </c>
      <c r="D248" s="251" t="s">
        <v>1249</v>
      </c>
      <c r="E248" s="41" t="s">
        <v>157</v>
      </c>
      <c r="F248" s="41"/>
      <c r="G248" s="41"/>
      <c r="H248" s="41" t="s">
        <v>924</v>
      </c>
      <c r="I248" s="88" t="s">
        <v>930</v>
      </c>
      <c r="J248" s="283">
        <v>104.04</v>
      </c>
      <c r="K248" s="284">
        <f t="shared" si="26"/>
        <v>1.0274373102440122</v>
      </c>
      <c r="L248" s="285">
        <f t="shared" si="31"/>
        <v>2.7437310244012116E-2</v>
      </c>
      <c r="M248" s="283">
        <f t="shared" si="30"/>
        <v>106.89457775778703</v>
      </c>
      <c r="N248" s="283" t="s">
        <v>1247</v>
      </c>
      <c r="O248" s="253">
        <f t="shared" si="27"/>
        <v>106.89457775778703</v>
      </c>
      <c r="P248" s="283" t="s">
        <v>918</v>
      </c>
      <c r="Q248" s="283">
        <f t="shared" si="28"/>
        <v>126.1356017541887</v>
      </c>
      <c r="R248" s="283">
        <f t="shared" si="29"/>
        <v>134.68716797481167</v>
      </c>
      <c r="T248" s="259">
        <f>COUNT(#REF!)</f>
        <v>0</v>
      </c>
    </row>
    <row r="249" spans="2:20" ht="25.5" customHeight="1" x14ac:dyDescent="0.25">
      <c r="B249" s="34">
        <v>242</v>
      </c>
      <c r="C249" s="41" t="s">
        <v>612</v>
      </c>
      <c r="D249" s="251" t="s">
        <v>1250</v>
      </c>
      <c r="E249" s="41" t="s">
        <v>157</v>
      </c>
      <c r="F249" s="41"/>
      <c r="G249" s="41"/>
      <c r="H249" s="41" t="s">
        <v>924</v>
      </c>
      <c r="I249" s="88" t="s">
        <v>930</v>
      </c>
      <c r="J249" s="283">
        <v>112.2</v>
      </c>
      <c r="K249" s="284">
        <f t="shared" si="26"/>
        <v>1.0274373102440122</v>
      </c>
      <c r="L249" s="285">
        <f t="shared" si="31"/>
        <v>2.7437310244012116E-2</v>
      </c>
      <c r="M249" s="283">
        <f t="shared" si="30"/>
        <v>115.27846620937817</v>
      </c>
      <c r="N249" s="283" t="s">
        <v>1247</v>
      </c>
      <c r="O249" s="253">
        <f t="shared" si="27"/>
        <v>115.27846620937817</v>
      </c>
      <c r="P249" s="283" t="s">
        <v>918</v>
      </c>
      <c r="Q249" s="283">
        <f t="shared" si="28"/>
        <v>136.02859012706622</v>
      </c>
      <c r="R249" s="283">
        <f t="shared" si="29"/>
        <v>145.25086742381649</v>
      </c>
      <c r="T249" s="259">
        <f>COUNT(#REF!)</f>
        <v>0</v>
      </c>
    </row>
    <row r="250" spans="2:20" ht="25.5" customHeight="1" x14ac:dyDescent="0.25">
      <c r="B250" s="34">
        <v>243</v>
      </c>
      <c r="C250" s="41" t="s">
        <v>605</v>
      </c>
      <c r="D250" s="251" t="s">
        <v>1251</v>
      </c>
      <c r="E250" s="41" t="s">
        <v>157</v>
      </c>
      <c r="F250" s="41"/>
      <c r="G250" s="41"/>
      <c r="H250" s="41" t="s">
        <v>924</v>
      </c>
      <c r="I250" s="88" t="s">
        <v>930</v>
      </c>
      <c r="J250" s="283">
        <v>128.52000000000001</v>
      </c>
      <c r="K250" s="284">
        <f t="shared" ref="K250:K311" si="32">(1+L250)</f>
        <v>1.0274373102440122</v>
      </c>
      <c r="L250" s="285">
        <f t="shared" si="31"/>
        <v>2.7437310244012116E-2</v>
      </c>
      <c r="M250" s="283">
        <f t="shared" si="30"/>
        <v>132.04624311256046</v>
      </c>
      <c r="N250" s="283" t="s">
        <v>1247</v>
      </c>
      <c r="O250" s="253">
        <f t="shared" si="27"/>
        <v>132.04624311256046</v>
      </c>
      <c r="P250" s="283" t="s">
        <v>918</v>
      </c>
      <c r="Q250" s="283">
        <f t="shared" si="28"/>
        <v>155.81456687282133</v>
      </c>
      <c r="R250" s="283">
        <f t="shared" si="29"/>
        <v>166.37826632182617</v>
      </c>
      <c r="T250" s="259">
        <f>COUNT(#REF!)</f>
        <v>0</v>
      </c>
    </row>
    <row r="251" spans="2:20" ht="15" customHeight="1" x14ac:dyDescent="0.25">
      <c r="B251" s="34">
        <v>244</v>
      </c>
      <c r="C251" s="34" t="s">
        <v>1252</v>
      </c>
      <c r="D251" s="251" t="s">
        <v>1253</v>
      </c>
      <c r="E251" s="41" t="s">
        <v>157</v>
      </c>
      <c r="F251" s="41"/>
      <c r="G251" s="41"/>
      <c r="H251" s="41" t="s">
        <v>924</v>
      </c>
      <c r="I251" s="88" t="s">
        <v>916</v>
      </c>
      <c r="J251" s="283">
        <v>147.19999999999999</v>
      </c>
      <c r="K251" s="284">
        <f t="shared" si="32"/>
        <v>1.0274373102440122</v>
      </c>
      <c r="L251" s="285">
        <f t="shared" si="31"/>
        <v>2.7437310244012116E-2</v>
      </c>
      <c r="M251" s="283">
        <f t="shared" si="30"/>
        <v>151.23877206791857</v>
      </c>
      <c r="N251" s="283"/>
      <c r="O251" s="253">
        <f t="shared" si="27"/>
        <v>151.23877206791857</v>
      </c>
      <c r="P251" s="283" t="s">
        <v>918</v>
      </c>
      <c r="Q251" s="283">
        <f t="shared" si="28"/>
        <v>178.46175104014389</v>
      </c>
      <c r="R251" s="283">
        <f t="shared" si="29"/>
        <v>190.56085280557741</v>
      </c>
    </row>
    <row r="252" spans="2:20" ht="15" customHeight="1" x14ac:dyDescent="0.25">
      <c r="B252" s="34">
        <v>245</v>
      </c>
      <c r="C252" s="34" t="s">
        <v>1254</v>
      </c>
      <c r="D252" s="251" t="s">
        <v>1255</v>
      </c>
      <c r="E252" s="41" t="s">
        <v>157</v>
      </c>
      <c r="F252" s="41"/>
      <c r="G252" s="41"/>
      <c r="H252" s="41" t="s">
        <v>924</v>
      </c>
      <c r="I252" s="88" t="s">
        <v>916</v>
      </c>
      <c r="J252" s="283">
        <v>168.6</v>
      </c>
      <c r="K252" s="284">
        <f t="shared" si="32"/>
        <v>1.0274373102440122</v>
      </c>
      <c r="L252" s="285">
        <f t="shared" si="31"/>
        <v>2.7437310244012116E-2</v>
      </c>
      <c r="M252" s="283">
        <f t="shared" si="30"/>
        <v>173.22593050714045</v>
      </c>
      <c r="N252" s="283"/>
      <c r="O252" s="253">
        <f t="shared" si="27"/>
        <v>173.22593050714045</v>
      </c>
      <c r="P252" s="283" t="s">
        <v>918</v>
      </c>
      <c r="Q252" s="283">
        <f t="shared" si="28"/>
        <v>204.40659799842572</v>
      </c>
      <c r="R252" s="283">
        <f t="shared" si="29"/>
        <v>218.26467243899697</v>
      </c>
    </row>
    <row r="253" spans="2:20" ht="25.5" customHeight="1" x14ac:dyDescent="0.25">
      <c r="B253" s="34">
        <v>246</v>
      </c>
      <c r="C253" s="41" t="s">
        <v>1256</v>
      </c>
      <c r="D253" s="251" t="s">
        <v>1257</v>
      </c>
      <c r="E253" s="41" t="s">
        <v>157</v>
      </c>
      <c r="F253" s="41"/>
      <c r="G253" s="41"/>
      <c r="H253" s="41" t="s">
        <v>924</v>
      </c>
      <c r="I253" s="88" t="s">
        <v>930</v>
      </c>
      <c r="J253" s="283">
        <v>128.75</v>
      </c>
      <c r="K253" s="284">
        <f t="shared" si="32"/>
        <v>1.0274373102440122</v>
      </c>
      <c r="L253" s="285">
        <f t="shared" si="31"/>
        <v>2.7437310244012116E-2</v>
      </c>
      <c r="M253" s="283">
        <f t="shared" si="30"/>
        <v>132.28255369391658</v>
      </c>
      <c r="N253" s="283" t="s">
        <v>1247</v>
      </c>
      <c r="O253" s="253">
        <f t="shared" ref="O253:O314" si="33">M253</f>
        <v>132.28255369391658</v>
      </c>
      <c r="P253" s="283" t="s">
        <v>918</v>
      </c>
      <c r="Q253" s="283">
        <f t="shared" si="28"/>
        <v>156.09341335882155</v>
      </c>
      <c r="R253" s="283">
        <f t="shared" si="29"/>
        <v>166.67601765433488</v>
      </c>
      <c r="T253" s="259">
        <f>COUNT(#REF!)</f>
        <v>0</v>
      </c>
    </row>
    <row r="254" spans="2:20" ht="25.5" customHeight="1" x14ac:dyDescent="0.25">
      <c r="B254" s="34">
        <v>247</v>
      </c>
      <c r="C254" s="41" t="s">
        <v>1258</v>
      </c>
      <c r="D254" s="251" t="s">
        <v>1259</v>
      </c>
      <c r="E254" s="41" t="s">
        <v>157</v>
      </c>
      <c r="F254" s="41"/>
      <c r="G254" s="41"/>
      <c r="H254" s="41" t="s">
        <v>924</v>
      </c>
      <c r="I254" s="88" t="s">
        <v>930</v>
      </c>
      <c r="J254" s="283">
        <v>231.75</v>
      </c>
      <c r="K254" s="284">
        <f t="shared" si="32"/>
        <v>1.0274373102440122</v>
      </c>
      <c r="L254" s="285">
        <f t="shared" si="31"/>
        <v>2.7437310244012116E-2</v>
      </c>
      <c r="M254" s="283">
        <f t="shared" si="30"/>
        <v>238.10859664904982</v>
      </c>
      <c r="N254" s="283" t="s">
        <v>1247</v>
      </c>
      <c r="O254" s="253">
        <f t="shared" si="33"/>
        <v>238.10859664904982</v>
      </c>
      <c r="P254" s="283" t="s">
        <v>918</v>
      </c>
      <c r="Q254" s="283">
        <f t="shared" si="28"/>
        <v>280.96814404587877</v>
      </c>
      <c r="R254" s="283">
        <f t="shared" si="29"/>
        <v>300.01683177780279</v>
      </c>
      <c r="T254" s="259">
        <f>COUNT(#REF!)</f>
        <v>0</v>
      </c>
    </row>
    <row r="255" spans="2:20" ht="25.5" customHeight="1" x14ac:dyDescent="0.25">
      <c r="B255" s="34">
        <v>248</v>
      </c>
      <c r="C255" s="41" t="s">
        <v>1260</v>
      </c>
      <c r="D255" s="251" t="s">
        <v>1261</v>
      </c>
      <c r="E255" s="41" t="s">
        <v>157</v>
      </c>
      <c r="F255" s="41"/>
      <c r="G255" s="41"/>
      <c r="H255" s="41" t="s">
        <v>924</v>
      </c>
      <c r="I255" s="88" t="s">
        <v>930</v>
      </c>
      <c r="J255" s="283">
        <v>149.35</v>
      </c>
      <c r="K255" s="284">
        <f t="shared" si="32"/>
        <v>1.0274373102440122</v>
      </c>
      <c r="L255" s="285">
        <f t="shared" si="31"/>
        <v>2.7437310244012116E-2</v>
      </c>
      <c r="M255" s="283">
        <f t="shared" si="30"/>
        <v>153.44776228494322</v>
      </c>
      <c r="N255" s="283" t="s">
        <v>1247</v>
      </c>
      <c r="O255" s="253">
        <f t="shared" si="33"/>
        <v>153.44776228494322</v>
      </c>
      <c r="P255" s="283" t="s">
        <v>918</v>
      </c>
      <c r="Q255" s="283">
        <f t="shared" si="28"/>
        <v>181.068359496233</v>
      </c>
      <c r="R255" s="283">
        <f t="shared" si="29"/>
        <v>193.34418047902847</v>
      </c>
      <c r="T255" s="259">
        <f>COUNT(#REF!)</f>
        <v>0</v>
      </c>
    </row>
    <row r="256" spans="2:20" ht="25.5" customHeight="1" x14ac:dyDescent="0.25">
      <c r="B256" s="34">
        <v>249</v>
      </c>
      <c r="C256" s="41" t="s">
        <v>618</v>
      </c>
      <c r="D256" s="251" t="s">
        <v>619</v>
      </c>
      <c r="E256" s="41" t="s">
        <v>157</v>
      </c>
      <c r="F256" s="41"/>
      <c r="G256" s="41"/>
      <c r="H256" s="41" t="s">
        <v>924</v>
      </c>
      <c r="I256" s="88" t="s">
        <v>930</v>
      </c>
      <c r="J256" s="283">
        <v>59.74</v>
      </c>
      <c r="K256" s="284">
        <f t="shared" si="32"/>
        <v>1.0274373102440122</v>
      </c>
      <c r="L256" s="285">
        <f t="shared" si="31"/>
        <v>2.7437310244012116E-2</v>
      </c>
      <c r="M256" s="283">
        <f t="shared" si="30"/>
        <v>61.379104913977294</v>
      </c>
      <c r="N256" s="283" t="s">
        <v>1247</v>
      </c>
      <c r="O256" s="253">
        <f t="shared" si="33"/>
        <v>61.379104913977294</v>
      </c>
      <c r="P256" s="283" t="s">
        <v>918</v>
      </c>
      <c r="Q256" s="283">
        <f t="shared" si="28"/>
        <v>72.427343798493197</v>
      </c>
      <c r="R256" s="283">
        <f t="shared" si="29"/>
        <v>77.337672191611389</v>
      </c>
      <c r="S256" s="325">
        <v>71.23</v>
      </c>
      <c r="T256" s="33">
        <f>COUNT(#REF!)</f>
        <v>0</v>
      </c>
    </row>
    <row r="257" spans="2:20" ht="25.5" customHeight="1" x14ac:dyDescent="0.25">
      <c r="B257" s="34">
        <v>250</v>
      </c>
      <c r="C257" s="41" t="s">
        <v>607</v>
      </c>
      <c r="D257" s="251" t="s">
        <v>608</v>
      </c>
      <c r="E257" s="41" t="s">
        <v>157</v>
      </c>
      <c r="F257" s="41"/>
      <c r="G257" s="41"/>
      <c r="H257" s="41" t="s">
        <v>924</v>
      </c>
      <c r="I257" s="88" t="s">
        <v>930</v>
      </c>
      <c r="J257" s="283">
        <v>94.86</v>
      </c>
      <c r="K257" s="284">
        <f t="shared" si="32"/>
        <v>1.0274373102440122</v>
      </c>
      <c r="L257" s="285">
        <f t="shared" si="31"/>
        <v>2.7437310244012116E-2</v>
      </c>
      <c r="M257" s="283">
        <f t="shared" si="30"/>
        <v>97.462703249746994</v>
      </c>
      <c r="N257" s="283" t="s">
        <v>1247</v>
      </c>
      <c r="O257" s="253">
        <f t="shared" si="33"/>
        <v>97.462703249746994</v>
      </c>
      <c r="P257" s="283" t="s">
        <v>918</v>
      </c>
      <c r="Q257" s="283">
        <f t="shared" si="28"/>
        <v>115.00598983470145</v>
      </c>
      <c r="R257" s="283">
        <f t="shared" si="29"/>
        <v>122.80300609468121</v>
      </c>
      <c r="S257" s="325">
        <v>80.75</v>
      </c>
      <c r="T257" s="33">
        <f>COUNT(#REF!)</f>
        <v>0</v>
      </c>
    </row>
    <row r="258" spans="2:20" ht="25.5" customHeight="1" x14ac:dyDescent="0.25">
      <c r="B258" s="34">
        <v>251</v>
      </c>
      <c r="C258" s="72">
        <v>72.099999999999994</v>
      </c>
      <c r="D258" s="251" t="s">
        <v>615</v>
      </c>
      <c r="E258" s="41" t="s">
        <v>157</v>
      </c>
      <c r="F258" s="41"/>
      <c r="G258" s="41"/>
      <c r="H258" s="41" t="s">
        <v>915</v>
      </c>
      <c r="I258" s="88" t="s">
        <v>930</v>
      </c>
      <c r="J258" s="283">
        <v>101</v>
      </c>
      <c r="K258" s="284">
        <f t="shared" si="32"/>
        <v>1.0126343788097087</v>
      </c>
      <c r="L258" s="285">
        <f>$V$8</f>
        <v>1.2634378809708687E-2</v>
      </c>
      <c r="M258" s="283">
        <f t="shared" si="30"/>
        <v>102.27607225978058</v>
      </c>
      <c r="N258" s="283" t="s">
        <v>1262</v>
      </c>
      <c r="O258" s="253">
        <f t="shared" si="33"/>
        <v>102.27607225978058</v>
      </c>
      <c r="P258" s="283" t="s">
        <v>918</v>
      </c>
      <c r="Q258" s="283">
        <f t="shared" si="28"/>
        <v>120.68576526654107</v>
      </c>
      <c r="R258" s="283">
        <f t="shared" si="29"/>
        <v>128.86785104732354</v>
      </c>
      <c r="S258" s="33"/>
      <c r="T258" s="33"/>
    </row>
    <row r="259" spans="2:20" ht="25.5" customHeight="1" x14ac:dyDescent="0.25">
      <c r="B259" s="34">
        <v>252</v>
      </c>
      <c r="C259" s="41" t="s">
        <v>616</v>
      </c>
      <c r="D259" s="251" t="s">
        <v>617</v>
      </c>
      <c r="E259" s="41" t="s">
        <v>157</v>
      </c>
      <c r="F259" s="41"/>
      <c r="G259" s="41"/>
      <c r="H259" s="41" t="s">
        <v>924</v>
      </c>
      <c r="I259" s="88" t="s">
        <v>930</v>
      </c>
      <c r="J259" s="283">
        <v>404.94</v>
      </c>
      <c r="K259" s="284">
        <f t="shared" si="32"/>
        <v>1.0274373102440122</v>
      </c>
      <c r="L259" s="285">
        <f>$V$9</f>
        <v>2.7437310244012116E-2</v>
      </c>
      <c r="M259" s="283">
        <f t="shared" si="30"/>
        <v>416.05046441021028</v>
      </c>
      <c r="N259" s="283" t="s">
        <v>1247</v>
      </c>
      <c r="O259" s="253">
        <f t="shared" si="33"/>
        <v>416.05046441021028</v>
      </c>
      <c r="P259" s="283" t="s">
        <v>918</v>
      </c>
      <c r="Q259" s="283">
        <f t="shared" si="28"/>
        <v>490.93954800404811</v>
      </c>
      <c r="R259" s="283">
        <f t="shared" si="29"/>
        <v>524.22358515686494</v>
      </c>
      <c r="T259" s="259">
        <f>COUNT(#REF!)</f>
        <v>0</v>
      </c>
    </row>
    <row r="260" spans="2:20" customFormat="1" ht="25.5" customHeight="1" x14ac:dyDescent="0.25">
      <c r="B260" s="34">
        <v>253</v>
      </c>
      <c r="C260" s="84" t="s">
        <v>601</v>
      </c>
      <c r="D260" s="57" t="s">
        <v>602</v>
      </c>
      <c r="E260" s="89" t="s">
        <v>286</v>
      </c>
      <c r="F260" s="299"/>
      <c r="G260" s="299"/>
      <c r="H260" s="41" t="s">
        <v>924</v>
      </c>
      <c r="I260" s="299" t="s">
        <v>930</v>
      </c>
      <c r="J260" s="283">
        <v>30.9</v>
      </c>
      <c r="K260" s="284">
        <f t="shared" si="32"/>
        <v>1.0274373102440122</v>
      </c>
      <c r="L260" s="285">
        <f>$V$9</f>
        <v>2.7437310244012116E-2</v>
      </c>
      <c r="M260" s="283">
        <f t="shared" si="30"/>
        <v>31.747812886539975</v>
      </c>
      <c r="N260" s="283" t="s">
        <v>1247</v>
      </c>
      <c r="O260" s="253">
        <f t="shared" si="33"/>
        <v>31.747812886539975</v>
      </c>
      <c r="P260" s="283" t="s">
        <v>918</v>
      </c>
      <c r="Q260" s="283">
        <f t="shared" si="28"/>
        <v>37.462419206117168</v>
      </c>
      <c r="R260" s="283">
        <f t="shared" si="29"/>
        <v>40.002244237040372</v>
      </c>
      <c r="S260" s="259"/>
      <c r="T260" s="259">
        <f>COUNT(#REF!)</f>
        <v>0</v>
      </c>
    </row>
    <row r="261" spans="2:20" customFormat="1" ht="25.5" customHeight="1" x14ac:dyDescent="0.25">
      <c r="B261" s="34">
        <v>254</v>
      </c>
      <c r="C261" s="41" t="s">
        <v>603</v>
      </c>
      <c r="D261" s="57" t="s">
        <v>604</v>
      </c>
      <c r="E261" s="89" t="s">
        <v>157</v>
      </c>
      <c r="F261" s="299"/>
      <c r="G261" s="299"/>
      <c r="H261" s="41" t="s">
        <v>924</v>
      </c>
      <c r="I261" s="299" t="s">
        <v>930</v>
      </c>
      <c r="J261" s="283">
        <v>6.6950000000000003</v>
      </c>
      <c r="K261" s="284">
        <f t="shared" si="32"/>
        <v>1.0274373102440122</v>
      </c>
      <c r="L261" s="285">
        <f>$V$9</f>
        <v>2.7437310244012116E-2</v>
      </c>
      <c r="M261" s="283">
        <f t="shared" si="30"/>
        <v>6.8786927920836618</v>
      </c>
      <c r="N261" s="283" t="s">
        <v>1247</v>
      </c>
      <c r="O261" s="253">
        <f t="shared" si="33"/>
        <v>6.8786927920836618</v>
      </c>
      <c r="P261" s="283" t="s">
        <v>918</v>
      </c>
      <c r="Q261" s="283">
        <f t="shared" si="28"/>
        <v>8.1168574946587206</v>
      </c>
      <c r="R261" s="283">
        <f t="shared" si="29"/>
        <v>8.6671529180254137</v>
      </c>
      <c r="S261" s="259"/>
      <c r="T261" s="259">
        <f>COUNT(#REF!)</f>
        <v>0</v>
      </c>
    </row>
    <row r="262" spans="2:20" ht="25.5" customHeight="1" x14ac:dyDescent="0.25">
      <c r="B262" s="34">
        <v>255</v>
      </c>
      <c r="C262" s="72">
        <v>141.1</v>
      </c>
      <c r="D262" s="251" t="s">
        <v>1263</v>
      </c>
      <c r="E262" s="41" t="s">
        <v>158</v>
      </c>
      <c r="F262" s="41"/>
      <c r="G262" s="41"/>
      <c r="H262" s="41" t="s">
        <v>915</v>
      </c>
      <c r="I262" s="88" t="s">
        <v>930</v>
      </c>
      <c r="J262" s="283">
        <v>200</v>
      </c>
      <c r="K262" s="284">
        <f t="shared" si="32"/>
        <v>1.0126343788097087</v>
      </c>
      <c r="L262" s="285">
        <f>$V$8</f>
        <v>1.2634378809708687E-2</v>
      </c>
      <c r="M262" s="283">
        <f t="shared" si="30"/>
        <v>202.52687576194174</v>
      </c>
      <c r="N262" s="283" t="s">
        <v>1262</v>
      </c>
      <c r="O262" s="253">
        <f t="shared" si="33"/>
        <v>202.52687576194174</v>
      </c>
      <c r="P262" s="283" t="s">
        <v>918</v>
      </c>
      <c r="Q262" s="283">
        <f t="shared" si="28"/>
        <v>238.98171339909123</v>
      </c>
      <c r="R262" s="283">
        <f t="shared" si="29"/>
        <v>255.18386346004658</v>
      </c>
      <c r="S262" s="33"/>
      <c r="T262" s="33"/>
    </row>
    <row r="263" spans="2:20" ht="38.25" customHeight="1" x14ac:dyDescent="0.25">
      <c r="B263" s="34">
        <v>256</v>
      </c>
      <c r="C263" s="41" t="s">
        <v>689</v>
      </c>
      <c r="D263" s="251" t="s">
        <v>690</v>
      </c>
      <c r="E263" s="41" t="s">
        <v>158</v>
      </c>
      <c r="F263" s="41"/>
      <c r="G263" s="41"/>
      <c r="H263" s="41" t="s">
        <v>924</v>
      </c>
      <c r="I263" s="88" t="s">
        <v>930</v>
      </c>
      <c r="J263" s="283">
        <v>413.89</v>
      </c>
      <c r="K263" s="284">
        <f t="shared" si="32"/>
        <v>1</v>
      </c>
      <c r="L263" s="285">
        <v>0</v>
      </c>
      <c r="M263" s="283">
        <f t="shared" si="30"/>
        <v>413.89</v>
      </c>
      <c r="N263" s="283" t="s">
        <v>1264</v>
      </c>
      <c r="O263" s="253">
        <f t="shared" si="33"/>
        <v>413.89</v>
      </c>
      <c r="P263" s="283" t="s">
        <v>918</v>
      </c>
      <c r="Q263" s="283">
        <f t="shared" si="28"/>
        <v>488.39019999999994</v>
      </c>
      <c r="R263" s="283">
        <f t="shared" si="29"/>
        <v>521.50139999999999</v>
      </c>
      <c r="S263" s="325">
        <v>395.3</v>
      </c>
      <c r="T263" s="33"/>
    </row>
    <row r="264" spans="2:20" ht="38.25" customHeight="1" x14ac:dyDescent="0.25">
      <c r="B264" s="34">
        <v>257</v>
      </c>
      <c r="C264" s="41" t="s">
        <v>598</v>
      </c>
      <c r="D264" s="251" t="s">
        <v>599</v>
      </c>
      <c r="E264" s="41" t="s">
        <v>158</v>
      </c>
      <c r="F264" s="41"/>
      <c r="G264" s="41"/>
      <c r="H264" s="41" t="s">
        <v>924</v>
      </c>
      <c r="I264" s="88" t="s">
        <v>930</v>
      </c>
      <c r="J264" s="283">
        <v>437.34</v>
      </c>
      <c r="K264" s="284">
        <f t="shared" si="32"/>
        <v>1</v>
      </c>
      <c r="L264" s="285">
        <v>0</v>
      </c>
      <c r="M264" s="283">
        <f t="shared" si="30"/>
        <v>437.34</v>
      </c>
      <c r="N264" s="283" t="s">
        <v>1264</v>
      </c>
      <c r="O264" s="253">
        <f t="shared" si="33"/>
        <v>437.34</v>
      </c>
      <c r="P264" s="283" t="s">
        <v>918</v>
      </c>
      <c r="Q264" s="283">
        <f t="shared" si="28"/>
        <v>516.06119999999999</v>
      </c>
      <c r="R264" s="283">
        <f t="shared" si="29"/>
        <v>551.04840000000002</v>
      </c>
      <c r="S264" s="325">
        <v>401.40100000000001</v>
      </c>
      <c r="T264" s="33"/>
    </row>
    <row r="265" spans="2:20" ht="38.25" customHeight="1" x14ac:dyDescent="0.25">
      <c r="B265" s="34">
        <v>258</v>
      </c>
      <c r="C265" s="41" t="s">
        <v>1265</v>
      </c>
      <c r="D265" s="251" t="s">
        <v>1266</v>
      </c>
      <c r="E265" s="41" t="s">
        <v>158</v>
      </c>
      <c r="F265" s="41"/>
      <c r="G265" s="41"/>
      <c r="H265" s="41" t="s">
        <v>924</v>
      </c>
      <c r="I265" s="88" t="s">
        <v>930</v>
      </c>
      <c r="J265" s="283">
        <v>501.83</v>
      </c>
      <c r="K265" s="284">
        <f t="shared" si="32"/>
        <v>1</v>
      </c>
      <c r="L265" s="285">
        <v>0</v>
      </c>
      <c r="M265" s="283">
        <f t="shared" si="30"/>
        <v>501.83</v>
      </c>
      <c r="N265" s="283" t="s">
        <v>1264</v>
      </c>
      <c r="O265" s="253">
        <f t="shared" si="33"/>
        <v>501.83</v>
      </c>
      <c r="P265" s="283" t="s">
        <v>918</v>
      </c>
      <c r="Q265" s="283">
        <f t="shared" si="28"/>
        <v>592.15940000000001</v>
      </c>
      <c r="R265" s="283">
        <f t="shared" si="29"/>
        <v>632.30579999999998</v>
      </c>
      <c r="S265" s="325">
        <v>401.40100000000001</v>
      </c>
      <c r="T265" s="33"/>
    </row>
    <row r="266" spans="2:20" ht="25.5" customHeight="1" x14ac:dyDescent="0.25">
      <c r="B266" s="34">
        <v>259</v>
      </c>
      <c r="C266" s="41">
        <v>140.1</v>
      </c>
      <c r="D266" s="251" t="s">
        <v>1267</v>
      </c>
      <c r="E266" s="41" t="s">
        <v>158</v>
      </c>
      <c r="F266" s="41"/>
      <c r="G266" s="41"/>
      <c r="H266" s="41" t="s">
        <v>915</v>
      </c>
      <c r="I266" s="88" t="s">
        <v>930</v>
      </c>
      <c r="J266" s="283">
        <v>190</v>
      </c>
      <c r="K266" s="284">
        <f t="shared" si="32"/>
        <v>1.0126343788097087</v>
      </c>
      <c r="L266" s="285">
        <f>$V$8</f>
        <v>1.2634378809708687E-2</v>
      </c>
      <c r="M266" s="283">
        <f t="shared" si="30"/>
        <v>192.40053197384466</v>
      </c>
      <c r="N266" s="283" t="s">
        <v>1262</v>
      </c>
      <c r="O266" s="253">
        <f t="shared" si="33"/>
        <v>192.40053197384466</v>
      </c>
      <c r="P266" s="283" t="s">
        <v>918</v>
      </c>
      <c r="Q266" s="283">
        <f t="shared" si="28"/>
        <v>227.03262772913669</v>
      </c>
      <c r="R266" s="283">
        <f t="shared" si="29"/>
        <v>242.42467028704428</v>
      </c>
      <c r="S266" s="33"/>
      <c r="T266" s="33"/>
    </row>
    <row r="267" spans="2:20" ht="38.25" customHeight="1" x14ac:dyDescent="0.25">
      <c r="B267" s="34">
        <v>260</v>
      </c>
      <c r="C267" s="41" t="s">
        <v>687</v>
      </c>
      <c r="D267" s="251" t="s">
        <v>688</v>
      </c>
      <c r="E267" s="41" t="s">
        <v>158</v>
      </c>
      <c r="F267" s="41"/>
      <c r="G267" s="41"/>
      <c r="H267" s="41" t="s">
        <v>924</v>
      </c>
      <c r="I267" s="88" t="s">
        <v>930</v>
      </c>
      <c r="J267" s="283">
        <v>507.69</v>
      </c>
      <c r="K267" s="284">
        <f t="shared" si="32"/>
        <v>1</v>
      </c>
      <c r="L267" s="285">
        <v>0</v>
      </c>
      <c r="M267" s="283">
        <f t="shared" si="30"/>
        <v>507.69</v>
      </c>
      <c r="N267" s="283" t="s">
        <v>1264</v>
      </c>
      <c r="O267" s="253">
        <f t="shared" si="33"/>
        <v>507.69</v>
      </c>
      <c r="P267" s="283" t="s">
        <v>918</v>
      </c>
      <c r="Q267" s="283">
        <f t="shared" si="28"/>
        <v>599.07420000000002</v>
      </c>
      <c r="R267" s="283">
        <f t="shared" si="29"/>
        <v>639.68939999999998</v>
      </c>
      <c r="S267" s="325">
        <v>419.9</v>
      </c>
      <c r="T267" s="33"/>
    </row>
    <row r="268" spans="2:20" ht="38.25" customHeight="1" x14ac:dyDescent="0.25">
      <c r="B268" s="34">
        <v>261</v>
      </c>
      <c r="C268" s="41" t="s">
        <v>686</v>
      </c>
      <c r="D268" s="251" t="s">
        <v>691</v>
      </c>
      <c r="E268" s="41" t="s">
        <v>158</v>
      </c>
      <c r="F268" s="41"/>
      <c r="G268" s="41"/>
      <c r="H268" s="41" t="s">
        <v>924</v>
      </c>
      <c r="I268" s="88" t="s">
        <v>930</v>
      </c>
      <c r="J268" s="283">
        <v>542.87</v>
      </c>
      <c r="K268" s="284">
        <f t="shared" si="32"/>
        <v>1</v>
      </c>
      <c r="L268" s="285">
        <v>0</v>
      </c>
      <c r="M268" s="283">
        <f t="shared" si="30"/>
        <v>542.87</v>
      </c>
      <c r="N268" s="283" t="s">
        <v>1264</v>
      </c>
      <c r="O268" s="253">
        <f t="shared" si="33"/>
        <v>542.87</v>
      </c>
      <c r="P268" s="283" t="s">
        <v>918</v>
      </c>
      <c r="Q268" s="283">
        <f t="shared" si="28"/>
        <v>640.58659999999998</v>
      </c>
      <c r="R268" s="283">
        <f t="shared" si="29"/>
        <v>684.01620000000003</v>
      </c>
      <c r="S268" s="325">
        <v>419.9</v>
      </c>
      <c r="T268" s="33"/>
    </row>
    <row r="269" spans="2:20" ht="38.25" customHeight="1" x14ac:dyDescent="0.25">
      <c r="B269" s="34">
        <v>262</v>
      </c>
      <c r="C269" s="41" t="s">
        <v>1268</v>
      </c>
      <c r="D269" s="251" t="s">
        <v>1269</v>
      </c>
      <c r="E269" s="41" t="s">
        <v>158</v>
      </c>
      <c r="F269" s="41"/>
      <c r="G269" s="41"/>
      <c r="H269" s="41" t="s">
        <v>924</v>
      </c>
      <c r="I269" s="88" t="s">
        <v>930</v>
      </c>
      <c r="J269" s="283">
        <v>689.43</v>
      </c>
      <c r="K269" s="284">
        <f t="shared" si="32"/>
        <v>1</v>
      </c>
      <c r="L269" s="285">
        <v>0</v>
      </c>
      <c r="M269" s="283">
        <f t="shared" si="30"/>
        <v>689.43</v>
      </c>
      <c r="N269" s="283" t="s">
        <v>1264</v>
      </c>
      <c r="O269" s="253">
        <f t="shared" si="33"/>
        <v>689.43</v>
      </c>
      <c r="P269" s="283" t="s">
        <v>918</v>
      </c>
      <c r="Q269" s="283">
        <f t="shared" si="28"/>
        <v>813.52739999999994</v>
      </c>
      <c r="R269" s="283">
        <f t="shared" si="29"/>
        <v>868.68179999999995</v>
      </c>
      <c r="S269" s="325">
        <v>419.9</v>
      </c>
      <c r="T269" s="33"/>
    </row>
    <row r="270" spans="2:20" customFormat="1" ht="51" customHeight="1" x14ac:dyDescent="0.25">
      <c r="B270" s="34">
        <v>263</v>
      </c>
      <c r="C270" s="84" t="s">
        <v>620</v>
      </c>
      <c r="D270" s="108" t="s">
        <v>621</v>
      </c>
      <c r="E270" s="302" t="s">
        <v>157</v>
      </c>
      <c r="F270" s="302"/>
      <c r="G270" s="302"/>
      <c r="H270" s="41" t="s">
        <v>924</v>
      </c>
      <c r="I270" s="302" t="s">
        <v>930</v>
      </c>
      <c r="J270" s="283">
        <v>1152.57</v>
      </c>
      <c r="K270" s="284">
        <f t="shared" si="32"/>
        <v>1.0267365704887732</v>
      </c>
      <c r="L270" s="285">
        <f>$L$3</f>
        <v>2.6736570488773183E-2</v>
      </c>
      <c r="M270" s="283">
        <f t="shared" si="30"/>
        <v>1183.3857690482453</v>
      </c>
      <c r="N270" s="283" t="s">
        <v>1247</v>
      </c>
      <c r="O270" s="253">
        <f t="shared" si="33"/>
        <v>1183.3857690482453</v>
      </c>
      <c r="P270" s="283" t="s">
        <v>918</v>
      </c>
      <c r="Q270" s="283">
        <f t="shared" si="28"/>
        <v>1396.3952074769293</v>
      </c>
      <c r="R270" s="283">
        <f t="shared" si="29"/>
        <v>1491.066069000789</v>
      </c>
      <c r="S270" s="259"/>
      <c r="T270" s="259">
        <f>COUNT(#REF!)</f>
        <v>0</v>
      </c>
    </row>
    <row r="271" spans="2:20" ht="25.5" customHeight="1" x14ac:dyDescent="0.25">
      <c r="B271" s="34">
        <v>264</v>
      </c>
      <c r="C271" s="41" t="s">
        <v>609</v>
      </c>
      <c r="D271" s="251" t="s">
        <v>610</v>
      </c>
      <c r="E271" s="41" t="s">
        <v>157</v>
      </c>
      <c r="F271" s="41"/>
      <c r="G271" s="41"/>
      <c r="H271" s="41" t="s">
        <v>924</v>
      </c>
      <c r="I271" s="88" t="s">
        <v>930</v>
      </c>
      <c r="J271" s="283">
        <v>61.8</v>
      </c>
      <c r="K271" s="284">
        <f t="shared" si="32"/>
        <v>1.0274373102440122</v>
      </c>
      <c r="L271" s="285">
        <f>$V$9</f>
        <v>2.7437310244012116E-2</v>
      </c>
      <c r="M271" s="283">
        <f t="shared" si="30"/>
        <v>63.495625773079951</v>
      </c>
      <c r="N271" s="283" t="s">
        <v>1247</v>
      </c>
      <c r="O271" s="253">
        <f t="shared" si="33"/>
        <v>63.495625773079951</v>
      </c>
      <c r="P271" s="283" t="s">
        <v>918</v>
      </c>
      <c r="Q271" s="283">
        <f t="shared" si="28"/>
        <v>74.924838412234337</v>
      </c>
      <c r="R271" s="283">
        <f t="shared" si="29"/>
        <v>80.004488474080745</v>
      </c>
      <c r="T271" s="259">
        <f>COUNT(#REF!)</f>
        <v>0</v>
      </c>
    </row>
    <row r="272" spans="2:20" ht="15" customHeight="1" x14ac:dyDescent="0.25">
      <c r="B272" s="34">
        <v>265</v>
      </c>
      <c r="C272" s="72">
        <v>17.100000000000001</v>
      </c>
      <c r="D272" s="251" t="s">
        <v>1270</v>
      </c>
      <c r="E272" s="41" t="s">
        <v>222</v>
      </c>
      <c r="F272" s="41"/>
      <c r="G272" s="41"/>
      <c r="H272" s="41" t="s">
        <v>915</v>
      </c>
      <c r="I272" s="88" t="s">
        <v>930</v>
      </c>
      <c r="J272" s="283">
        <v>256.75</v>
      </c>
      <c r="K272" s="284">
        <f t="shared" si="32"/>
        <v>1.0057349192863212</v>
      </c>
      <c r="L272" s="285">
        <f>$U$8</f>
        <v>5.7349192863212217E-3</v>
      </c>
      <c r="M272" s="283">
        <f t="shared" si="30"/>
        <v>258.22244052676297</v>
      </c>
      <c r="N272" s="283" t="s">
        <v>961</v>
      </c>
      <c r="O272" s="253">
        <f t="shared" si="33"/>
        <v>258.22244052676297</v>
      </c>
      <c r="P272" s="283" t="s">
        <v>918</v>
      </c>
      <c r="Q272" s="283">
        <f t="shared" si="28"/>
        <v>304.70247982158031</v>
      </c>
      <c r="R272" s="283">
        <f t="shared" si="29"/>
        <v>325.36027506372136</v>
      </c>
      <c r="S272" s="33"/>
      <c r="T272" s="33"/>
    </row>
    <row r="273" spans="1:20" ht="15" customHeight="1" x14ac:dyDescent="0.25">
      <c r="B273" s="34">
        <v>266</v>
      </c>
      <c r="C273" s="72">
        <v>18.100000000000001</v>
      </c>
      <c r="D273" s="251" t="s">
        <v>1271</v>
      </c>
      <c r="E273" s="41" t="s">
        <v>222</v>
      </c>
      <c r="F273" s="41"/>
      <c r="G273" s="41"/>
      <c r="H273" s="41" t="s">
        <v>915</v>
      </c>
      <c r="I273" s="88" t="s">
        <v>930</v>
      </c>
      <c r="J273" s="283">
        <v>71.978333333333339</v>
      </c>
      <c r="K273" s="284">
        <f t="shared" si="32"/>
        <v>1.0126343788097087</v>
      </c>
      <c r="L273" s="285">
        <f>$V$8</f>
        <v>1.2634378809708687E-2</v>
      </c>
      <c r="M273" s="283">
        <f t="shared" si="30"/>
        <v>72.887734862758151</v>
      </c>
      <c r="N273" s="283" t="s">
        <v>978</v>
      </c>
      <c r="O273" s="253">
        <f t="shared" si="33"/>
        <v>72.887734862758151</v>
      </c>
      <c r="P273" s="283" t="s">
        <v>918</v>
      </c>
      <c r="Q273" s="283">
        <f t="shared" si="28"/>
        <v>86.007527138054613</v>
      </c>
      <c r="R273" s="283">
        <f t="shared" si="29"/>
        <v>91.838545927075273</v>
      </c>
      <c r="S273" s="33"/>
      <c r="T273" s="33"/>
    </row>
    <row r="274" spans="1:20" ht="15" customHeight="1" x14ac:dyDescent="0.25">
      <c r="B274" s="34">
        <v>267</v>
      </c>
      <c r="C274" s="72">
        <v>122.1</v>
      </c>
      <c r="D274" s="251" t="s">
        <v>302</v>
      </c>
      <c r="E274" s="41" t="s">
        <v>222</v>
      </c>
      <c r="F274" s="41"/>
      <c r="G274" s="41"/>
      <c r="H274" s="41" t="s">
        <v>915</v>
      </c>
      <c r="I274" s="88" t="s">
        <v>930</v>
      </c>
      <c r="J274" s="283">
        <v>74.342500000000001</v>
      </c>
      <c r="K274" s="284">
        <f t="shared" si="32"/>
        <v>1.0126343788097087</v>
      </c>
      <c r="L274" s="285">
        <f>$V$8</f>
        <v>1.2634378809708687E-2</v>
      </c>
      <c r="M274" s="283">
        <f t="shared" si="30"/>
        <v>75.281771306660772</v>
      </c>
      <c r="N274" s="283" t="s">
        <v>961</v>
      </c>
      <c r="O274" s="253">
        <f t="shared" si="33"/>
        <v>75.281771306660772</v>
      </c>
      <c r="P274" s="283" t="s">
        <v>918</v>
      </c>
      <c r="Q274" s="283">
        <f t="shared" si="28"/>
        <v>88.832490141859708</v>
      </c>
      <c r="R274" s="283">
        <f t="shared" si="29"/>
        <v>94.855031846392578</v>
      </c>
      <c r="S274" s="33">
        <v>77.23</v>
      </c>
      <c r="T274" s="33"/>
    </row>
    <row r="275" spans="1:20" ht="15" customHeight="1" x14ac:dyDescent="0.25">
      <c r="B275" s="34">
        <v>268</v>
      </c>
      <c r="C275" s="72">
        <v>124.1</v>
      </c>
      <c r="D275" s="251" t="s">
        <v>303</v>
      </c>
      <c r="E275" s="41" t="s">
        <v>222</v>
      </c>
      <c r="F275" s="41"/>
      <c r="G275" s="41"/>
      <c r="H275" s="41" t="s">
        <v>915</v>
      </c>
      <c r="I275" s="88" t="s">
        <v>930</v>
      </c>
      <c r="J275" s="283">
        <v>247.33333333333334</v>
      </c>
      <c r="K275" s="284">
        <f t="shared" si="32"/>
        <v>1.0057349192863212</v>
      </c>
      <c r="L275" s="285">
        <f>$U$8</f>
        <v>5.7349192863212217E-3</v>
      </c>
      <c r="M275" s="283">
        <f t="shared" si="30"/>
        <v>248.75177003681679</v>
      </c>
      <c r="N275" s="283" t="s">
        <v>956</v>
      </c>
      <c r="O275" s="253">
        <f t="shared" si="33"/>
        <v>248.75177003681679</v>
      </c>
      <c r="P275" s="283" t="s">
        <v>918</v>
      </c>
      <c r="Q275" s="283">
        <f t="shared" si="28"/>
        <v>293.52708864344379</v>
      </c>
      <c r="R275" s="283">
        <f t="shared" si="29"/>
        <v>313.42723024638917</v>
      </c>
      <c r="S275" s="33"/>
      <c r="T275" s="33"/>
    </row>
    <row r="276" spans="1:20" ht="15" customHeight="1" x14ac:dyDescent="0.25">
      <c r="B276" s="34">
        <v>269</v>
      </c>
      <c r="C276" s="86">
        <v>129.19999999999999</v>
      </c>
      <c r="D276" s="82" t="s">
        <v>1272</v>
      </c>
      <c r="E276" s="88" t="s">
        <v>157</v>
      </c>
      <c r="F276" s="41"/>
      <c r="G276" s="41"/>
      <c r="H276" s="41" t="s">
        <v>915</v>
      </c>
      <c r="I276" s="88" t="s">
        <v>930</v>
      </c>
      <c r="J276" s="283">
        <v>64</v>
      </c>
      <c r="K276" s="284">
        <f t="shared" si="32"/>
        <v>1.0126343788097087</v>
      </c>
      <c r="L276" s="285">
        <f>$V$8</f>
        <v>1.2634378809708687E-2</v>
      </c>
      <c r="M276" s="283">
        <f t="shared" si="30"/>
        <v>64.80860024382136</v>
      </c>
      <c r="N276" s="283" t="s">
        <v>956</v>
      </c>
      <c r="O276" s="253">
        <f t="shared" si="33"/>
        <v>64.80860024382136</v>
      </c>
      <c r="P276" s="283" t="s">
        <v>918</v>
      </c>
      <c r="Q276" s="283">
        <f t="shared" si="28"/>
        <v>76.474148287709198</v>
      </c>
      <c r="R276" s="283">
        <f t="shared" si="29"/>
        <v>81.658836307214912</v>
      </c>
      <c r="S276" s="33"/>
      <c r="T276" s="33"/>
    </row>
    <row r="277" spans="1:20" ht="15" customHeight="1" x14ac:dyDescent="0.25">
      <c r="B277" s="34">
        <v>270</v>
      </c>
      <c r="C277" s="72">
        <v>136.1</v>
      </c>
      <c r="D277" s="251" t="s">
        <v>826</v>
      </c>
      <c r="E277" s="41" t="s">
        <v>222</v>
      </c>
      <c r="F277" s="41"/>
      <c r="G277" s="41"/>
      <c r="H277" s="41" t="s">
        <v>915</v>
      </c>
      <c r="I277" s="88" t="s">
        <v>930</v>
      </c>
      <c r="J277" s="283">
        <v>73</v>
      </c>
      <c r="K277" s="284">
        <f t="shared" si="32"/>
        <v>1.0274373102440122</v>
      </c>
      <c r="L277" s="285">
        <f>$V$9</f>
        <v>2.7437310244012116E-2</v>
      </c>
      <c r="M277" s="283">
        <f t="shared" si="30"/>
        <v>75.002923647812892</v>
      </c>
      <c r="N277" s="283" t="s">
        <v>936</v>
      </c>
      <c r="O277" s="253">
        <f t="shared" si="33"/>
        <v>75.002923647812892</v>
      </c>
      <c r="P277" s="283" t="s">
        <v>918</v>
      </c>
      <c r="Q277" s="283">
        <f t="shared" si="28"/>
        <v>88.503449904419213</v>
      </c>
      <c r="R277" s="283">
        <f t="shared" si="29"/>
        <v>94.503683796244246</v>
      </c>
      <c r="S277" s="33"/>
      <c r="T277" s="33"/>
    </row>
    <row r="278" spans="1:20" ht="15" customHeight="1" x14ac:dyDescent="0.25">
      <c r="B278" s="34">
        <v>271</v>
      </c>
      <c r="C278" s="72">
        <v>137.1</v>
      </c>
      <c r="D278" s="251" t="s">
        <v>304</v>
      </c>
      <c r="E278" s="41" t="s">
        <v>305</v>
      </c>
      <c r="F278" s="41"/>
      <c r="G278" s="41"/>
      <c r="H278" s="41" t="s">
        <v>915</v>
      </c>
      <c r="I278" s="88" t="s">
        <v>930</v>
      </c>
      <c r="J278" s="283">
        <v>264</v>
      </c>
      <c r="K278" s="284">
        <f t="shared" si="32"/>
        <v>1.0657773317498953</v>
      </c>
      <c r="L278" s="285">
        <f>$L$2</f>
        <v>6.5777331749895404E-2</v>
      </c>
      <c r="M278" s="283">
        <f t="shared" si="30"/>
        <v>281.36521558197234</v>
      </c>
      <c r="N278" s="283" t="s">
        <v>936</v>
      </c>
      <c r="O278" s="253">
        <f t="shared" si="33"/>
        <v>281.36521558197234</v>
      </c>
      <c r="P278" s="283" t="s">
        <v>918</v>
      </c>
      <c r="Q278" s="283">
        <f t="shared" si="28"/>
        <v>332.01095438672735</v>
      </c>
      <c r="R278" s="283">
        <f t="shared" si="29"/>
        <v>354.52017163328514</v>
      </c>
      <c r="S278" s="33"/>
      <c r="T278" s="33"/>
    </row>
    <row r="279" spans="1:20" ht="38.25" customHeight="1" x14ac:dyDescent="0.25">
      <c r="B279" s="34">
        <v>272</v>
      </c>
      <c r="C279" s="72">
        <v>138.1</v>
      </c>
      <c r="D279" s="251" t="s">
        <v>306</v>
      </c>
      <c r="E279" s="41" t="s">
        <v>305</v>
      </c>
      <c r="F279" s="41"/>
      <c r="G279" s="41"/>
      <c r="H279" s="41" t="s">
        <v>915</v>
      </c>
      <c r="I279" s="88" t="s">
        <v>930</v>
      </c>
      <c r="J279" s="283">
        <v>154</v>
      </c>
      <c r="K279" s="284">
        <f t="shared" si="32"/>
        <v>1.0267365704887732</v>
      </c>
      <c r="L279" s="285">
        <f>$L$3</f>
        <v>2.6736570488773183E-2</v>
      </c>
      <c r="M279" s="283">
        <f t="shared" si="30"/>
        <v>158.11743185527106</v>
      </c>
      <c r="N279" s="283" t="s">
        <v>1273</v>
      </c>
      <c r="O279" s="253">
        <f t="shared" si="33"/>
        <v>158.11743185527106</v>
      </c>
      <c r="P279" s="283" t="s">
        <v>918</v>
      </c>
      <c r="Q279" s="283">
        <f t="shared" si="28"/>
        <v>186.57856958921985</v>
      </c>
      <c r="R279" s="283">
        <f t="shared" si="29"/>
        <v>199.22796413764155</v>
      </c>
      <c r="S279" s="33"/>
      <c r="T279" s="33"/>
    </row>
    <row r="280" spans="1:20" ht="15" customHeight="1" x14ac:dyDescent="0.25">
      <c r="B280" s="34">
        <v>273</v>
      </c>
      <c r="C280" s="72">
        <v>161.1</v>
      </c>
      <c r="D280" s="251" t="s">
        <v>1274</v>
      </c>
      <c r="E280" s="41" t="s">
        <v>1275</v>
      </c>
      <c r="F280" s="41"/>
      <c r="G280" s="41"/>
      <c r="H280" s="41" t="s">
        <v>915</v>
      </c>
      <c r="I280" s="88" t="s">
        <v>916</v>
      </c>
      <c r="J280" s="283">
        <v>85299.39</v>
      </c>
      <c r="K280" s="284">
        <f t="shared" si="32"/>
        <v>1.1143948786429336</v>
      </c>
      <c r="L280" s="285">
        <f>$Y$9</f>
        <v>0.11439487864293353</v>
      </c>
      <c r="M280" s="283">
        <f t="shared" si="30"/>
        <v>95057.203367366266</v>
      </c>
      <c r="N280" s="283" t="s">
        <v>933</v>
      </c>
      <c r="O280" s="253">
        <f t="shared" si="33"/>
        <v>95057.203367366266</v>
      </c>
      <c r="P280" s="283" t="s">
        <v>918</v>
      </c>
      <c r="Q280" s="283">
        <f t="shared" si="28"/>
        <v>112167.49997349219</v>
      </c>
      <c r="R280" s="283">
        <f t="shared" si="29"/>
        <v>119772.07624288149</v>
      </c>
      <c r="S280" s="33">
        <v>58721.4</v>
      </c>
      <c r="T280" s="33"/>
    </row>
    <row r="281" spans="1:20" ht="25.5" customHeight="1" x14ac:dyDescent="0.25">
      <c r="B281" s="34">
        <v>274</v>
      </c>
      <c r="C281" s="86" t="s">
        <v>1276</v>
      </c>
      <c r="D281" s="82" t="s">
        <v>1277</v>
      </c>
      <c r="E281" s="41" t="s">
        <v>222</v>
      </c>
      <c r="F281" s="41"/>
      <c r="G281" s="41"/>
      <c r="H281" s="41" t="s">
        <v>924</v>
      </c>
      <c r="I281" s="88" t="s">
        <v>930</v>
      </c>
      <c r="J281" s="283">
        <v>162.6</v>
      </c>
      <c r="K281" s="284">
        <f t="shared" si="32"/>
        <v>1.0267365704887732</v>
      </c>
      <c r="L281" s="285">
        <f>$L$3</f>
        <v>2.6736570488773183E-2</v>
      </c>
      <c r="M281" s="283">
        <f t="shared" si="30"/>
        <v>166.94736636147451</v>
      </c>
      <c r="N281" s="283" t="s">
        <v>939</v>
      </c>
      <c r="O281" s="253">
        <f t="shared" si="33"/>
        <v>166.94736636147451</v>
      </c>
      <c r="P281" s="283" t="s">
        <v>918</v>
      </c>
      <c r="Q281" s="283">
        <f t="shared" si="28"/>
        <v>196.99789230653991</v>
      </c>
      <c r="R281" s="283">
        <f t="shared" si="29"/>
        <v>210.35368161545787</v>
      </c>
      <c r="T281" s="259">
        <f>COUNT(#REF!)</f>
        <v>0</v>
      </c>
    </row>
    <row r="282" spans="1:20" s="303" customFormat="1" ht="25.5" customHeight="1" x14ac:dyDescent="0.25">
      <c r="A282"/>
      <c r="B282" s="34">
        <v>275</v>
      </c>
      <c r="C282" s="41" t="s">
        <v>398</v>
      </c>
      <c r="D282" s="85" t="s">
        <v>1278</v>
      </c>
      <c r="E282" s="41" t="s">
        <v>157</v>
      </c>
      <c r="F282" s="253">
        <v>2.9</v>
      </c>
      <c r="G282" s="253">
        <v>65.41</v>
      </c>
      <c r="H282" s="41" t="s">
        <v>924</v>
      </c>
      <c r="I282" s="88" t="s">
        <v>930</v>
      </c>
      <c r="J282" s="283">
        <v>189.68899999999999</v>
      </c>
      <c r="K282" s="284">
        <f t="shared" si="32"/>
        <v>1</v>
      </c>
      <c r="L282" s="285">
        <v>0</v>
      </c>
      <c r="M282" s="283">
        <f t="shared" si="30"/>
        <v>189.68899999999999</v>
      </c>
      <c r="N282" s="283" t="str">
        <f>"Calculated ("&amp;F282&amp;" kg/"&amp;E282&amp;" @ INR "&amp;G282&amp;" per kg)"</f>
        <v>Calculated (2.9 kg/Nos. @ INR 65.41 per kg)</v>
      </c>
      <c r="O282" s="253">
        <f t="shared" si="33"/>
        <v>189.68899999999999</v>
      </c>
      <c r="P282" s="283" t="s">
        <v>918</v>
      </c>
      <c r="Q282" s="283">
        <f t="shared" si="28"/>
        <v>223.83301999999998</v>
      </c>
      <c r="R282" s="283">
        <f t="shared" si="29"/>
        <v>239.00814</v>
      </c>
      <c r="S282" s="33"/>
    </row>
    <row r="283" spans="1:20" ht="15" customHeight="1" x14ac:dyDescent="0.25">
      <c r="B283" s="34">
        <v>276</v>
      </c>
      <c r="C283" s="72">
        <v>7.1</v>
      </c>
      <c r="D283" s="82" t="s">
        <v>1279</v>
      </c>
      <c r="E283" s="41" t="s">
        <v>157</v>
      </c>
      <c r="F283" s="253">
        <v>2.9</v>
      </c>
      <c r="G283" s="253">
        <v>54.1</v>
      </c>
      <c r="H283" s="41" t="s">
        <v>915</v>
      </c>
      <c r="I283" s="88" t="s">
        <v>930</v>
      </c>
      <c r="J283" s="283">
        <v>142.78</v>
      </c>
      <c r="K283" s="284">
        <f t="shared" si="32"/>
        <v>1.0126343788097087</v>
      </c>
      <c r="L283" s="285">
        <f>$V$8</f>
        <v>1.2634378809708687E-2</v>
      </c>
      <c r="M283" s="283">
        <f t="shared" si="30"/>
        <v>144.58393660645021</v>
      </c>
      <c r="N283" s="283" t="s">
        <v>961</v>
      </c>
      <c r="O283" s="253">
        <f t="shared" si="33"/>
        <v>144.58393660645021</v>
      </c>
      <c r="P283" s="283" t="s">
        <v>918</v>
      </c>
      <c r="Q283" s="283">
        <f t="shared" si="28"/>
        <v>170.60904519561123</v>
      </c>
      <c r="R283" s="283">
        <f t="shared" si="29"/>
        <v>182.17576012412727</v>
      </c>
      <c r="S283" s="33"/>
      <c r="T283" s="33"/>
    </row>
    <row r="284" spans="1:20" s="304" customFormat="1" ht="25.5" customHeight="1" x14ac:dyDescent="0.25">
      <c r="A284"/>
      <c r="B284" s="34">
        <v>277</v>
      </c>
      <c r="C284" s="41" t="s">
        <v>412</v>
      </c>
      <c r="D284" s="85" t="s">
        <v>413</v>
      </c>
      <c r="E284" s="41" t="s">
        <v>157</v>
      </c>
      <c r="F284" s="253">
        <v>2.1</v>
      </c>
      <c r="G284" s="253">
        <v>65.41</v>
      </c>
      <c r="H284" s="41" t="s">
        <v>924</v>
      </c>
      <c r="I284" s="88" t="s">
        <v>930</v>
      </c>
      <c r="J284" s="283">
        <v>137.36099999999999</v>
      </c>
      <c r="K284" s="284">
        <f t="shared" si="32"/>
        <v>1</v>
      </c>
      <c r="L284" s="285">
        <v>0</v>
      </c>
      <c r="M284" s="283">
        <f t="shared" si="30"/>
        <v>137.36099999999999</v>
      </c>
      <c r="N284" s="283" t="str">
        <f>"Calculated ("&amp;F284&amp;" kg/"&amp;E284&amp;" @ INR "&amp;G284&amp;" per kg)"</f>
        <v>Calculated (2.1 kg/Nos. @ INR 65.41 per kg)</v>
      </c>
      <c r="O284" s="253">
        <f t="shared" si="33"/>
        <v>137.36099999999999</v>
      </c>
      <c r="P284" s="283" t="s">
        <v>918</v>
      </c>
      <c r="Q284" s="283">
        <f t="shared" si="28"/>
        <v>162.08597999999998</v>
      </c>
      <c r="R284" s="283">
        <f t="shared" si="29"/>
        <v>173.07486</v>
      </c>
      <c r="S284" s="33"/>
    </row>
    <row r="285" spans="1:20" ht="15" customHeight="1" x14ac:dyDescent="0.25">
      <c r="B285" s="34">
        <v>278</v>
      </c>
      <c r="C285" s="72">
        <v>8.1</v>
      </c>
      <c r="D285" s="82" t="s">
        <v>1280</v>
      </c>
      <c r="E285" s="41" t="s">
        <v>157</v>
      </c>
      <c r="F285" s="253">
        <v>2.1</v>
      </c>
      <c r="G285" s="253">
        <v>45.69</v>
      </c>
      <c r="H285" s="41" t="s">
        <v>915</v>
      </c>
      <c r="I285" s="88" t="s">
        <v>930</v>
      </c>
      <c r="J285" s="283">
        <v>93.999999999999986</v>
      </c>
      <c r="K285" s="284">
        <f t="shared" si="32"/>
        <v>1.0126343788097087</v>
      </c>
      <c r="L285" s="285">
        <f>$V$8</f>
        <v>1.2634378809708687E-2</v>
      </c>
      <c r="M285" s="283">
        <f t="shared" si="30"/>
        <v>95.187631608112611</v>
      </c>
      <c r="N285" s="283" t="s">
        <v>961</v>
      </c>
      <c r="O285" s="253">
        <f t="shared" si="33"/>
        <v>95.187631608112611</v>
      </c>
      <c r="P285" s="283" t="s">
        <v>918</v>
      </c>
      <c r="Q285" s="283">
        <f t="shared" si="28"/>
        <v>112.32140529757288</v>
      </c>
      <c r="R285" s="283">
        <f t="shared" si="29"/>
        <v>119.93641582622189</v>
      </c>
      <c r="S285" s="33"/>
      <c r="T285" s="33"/>
    </row>
    <row r="286" spans="1:20" s="304" customFormat="1" ht="25.5" customHeight="1" x14ac:dyDescent="0.25">
      <c r="A286"/>
      <c r="B286" s="34">
        <v>279</v>
      </c>
      <c r="C286" s="41" t="s">
        <v>377</v>
      </c>
      <c r="D286" s="85" t="s">
        <v>1281</v>
      </c>
      <c r="E286" s="41" t="s">
        <v>157</v>
      </c>
      <c r="F286" s="253">
        <v>20.48</v>
      </c>
      <c r="G286" s="253">
        <v>65.41</v>
      </c>
      <c r="H286" s="41" t="s">
        <v>924</v>
      </c>
      <c r="I286" s="88" t="s">
        <v>930</v>
      </c>
      <c r="J286" s="283">
        <v>1339.5968</v>
      </c>
      <c r="K286" s="284">
        <f t="shared" si="32"/>
        <v>1</v>
      </c>
      <c r="L286" s="285">
        <v>0</v>
      </c>
      <c r="M286" s="283">
        <f t="shared" si="30"/>
        <v>1339.5968</v>
      </c>
      <c r="N286" s="283" t="str">
        <f>"Calculated ("&amp;F286&amp;" kg/"&amp;E286&amp;" @ INR "&amp;G286&amp;" per kg)"</f>
        <v>Calculated (20.48 kg/Nos. @ INR 65.41 per kg)</v>
      </c>
      <c r="O286" s="253">
        <f t="shared" si="33"/>
        <v>1339.5968</v>
      </c>
      <c r="P286" s="283" t="s">
        <v>918</v>
      </c>
      <c r="Q286" s="283">
        <f t="shared" si="28"/>
        <v>1580.724224</v>
      </c>
      <c r="R286" s="283">
        <f t="shared" si="29"/>
        <v>1687.8919680000001</v>
      </c>
      <c r="S286" s="33"/>
    </row>
    <row r="287" spans="1:20" ht="15" customHeight="1" x14ac:dyDescent="0.25">
      <c r="B287" s="34">
        <v>280</v>
      </c>
      <c r="C287" s="72">
        <v>74.099999999999994</v>
      </c>
      <c r="D287" s="82" t="s">
        <v>1282</v>
      </c>
      <c r="E287" s="41" t="s">
        <v>157</v>
      </c>
      <c r="F287" s="253">
        <v>20.48</v>
      </c>
      <c r="G287" s="253">
        <v>50.28</v>
      </c>
      <c r="H287" s="41" t="s">
        <v>915</v>
      </c>
      <c r="I287" s="88" t="s">
        <v>930</v>
      </c>
      <c r="J287" s="283">
        <v>1016.99</v>
      </c>
      <c r="K287" s="284">
        <f t="shared" si="32"/>
        <v>1.0126343788097087</v>
      </c>
      <c r="L287" s="285">
        <f>$V$8</f>
        <v>1.2634378809708687E-2</v>
      </c>
      <c r="M287" s="283">
        <f t="shared" si="30"/>
        <v>1029.8390369056858</v>
      </c>
      <c r="N287" s="283" t="s">
        <v>961</v>
      </c>
      <c r="O287" s="253">
        <f t="shared" si="33"/>
        <v>1029.8390369056858</v>
      </c>
      <c r="P287" s="283" t="s">
        <v>918</v>
      </c>
      <c r="Q287" s="283">
        <f t="shared" si="28"/>
        <v>1215.2100635487093</v>
      </c>
      <c r="R287" s="283">
        <f t="shared" si="29"/>
        <v>1297.5971865011641</v>
      </c>
      <c r="S287" s="33"/>
      <c r="T287" s="33"/>
    </row>
    <row r="288" spans="1:20" s="304" customFormat="1" ht="25.5" customHeight="1" x14ac:dyDescent="0.25">
      <c r="A288"/>
      <c r="B288" s="34">
        <v>281</v>
      </c>
      <c r="C288" s="41" t="s">
        <v>684</v>
      </c>
      <c r="D288" s="305" t="s">
        <v>1283</v>
      </c>
      <c r="E288" s="41" t="s">
        <v>157</v>
      </c>
      <c r="F288" s="253">
        <v>10.93</v>
      </c>
      <c r="G288" s="253">
        <v>65.41</v>
      </c>
      <c r="H288" s="41" t="s">
        <v>924</v>
      </c>
      <c r="I288" s="88" t="s">
        <v>930</v>
      </c>
      <c r="J288" s="283">
        <v>714.93129999999996</v>
      </c>
      <c r="K288" s="284">
        <f t="shared" si="32"/>
        <v>1</v>
      </c>
      <c r="L288" s="285">
        <v>0</v>
      </c>
      <c r="M288" s="283">
        <f t="shared" si="30"/>
        <v>714.93129999999996</v>
      </c>
      <c r="N288" s="283" t="str">
        <f>"Calculated ("&amp;F288&amp;" kg/"&amp;E288&amp;" @ INR "&amp;G288&amp;" per kg)"</f>
        <v>Calculated (10.93 kg/Nos. @ INR 65.41 per kg)</v>
      </c>
      <c r="O288" s="253">
        <f t="shared" si="33"/>
        <v>714.93129999999996</v>
      </c>
      <c r="P288" s="283" t="s">
        <v>918</v>
      </c>
      <c r="Q288" s="283">
        <f t="shared" ref="Q288:Q351" si="34">M288*1.18</f>
        <v>843.61893399999997</v>
      </c>
      <c r="R288" s="283">
        <f t="shared" ref="R288:R351" si="35">M288*1.26</f>
        <v>900.81343799999991</v>
      </c>
      <c r="S288" s="33"/>
    </row>
    <row r="289" spans="1:20" ht="15" customHeight="1" x14ac:dyDescent="0.25">
      <c r="B289" s="34">
        <v>282</v>
      </c>
      <c r="C289" s="72">
        <v>75.099999999999994</v>
      </c>
      <c r="D289" s="82" t="s">
        <v>1284</v>
      </c>
      <c r="E289" s="41" t="s">
        <v>157</v>
      </c>
      <c r="F289" s="253">
        <v>10.93</v>
      </c>
      <c r="G289" s="253">
        <v>48.86</v>
      </c>
      <c r="H289" s="41" t="s">
        <v>915</v>
      </c>
      <c r="I289" s="88" t="s">
        <v>930</v>
      </c>
      <c r="J289" s="283">
        <v>528.84</v>
      </c>
      <c r="K289" s="284">
        <f t="shared" si="32"/>
        <v>1.0126343788097087</v>
      </c>
      <c r="L289" s="285">
        <f>$V$8</f>
        <v>1.2634378809708687E-2</v>
      </c>
      <c r="M289" s="283">
        <f t="shared" si="30"/>
        <v>535.52156488972639</v>
      </c>
      <c r="N289" s="283" t="s">
        <v>961</v>
      </c>
      <c r="O289" s="253">
        <f t="shared" si="33"/>
        <v>535.52156488972639</v>
      </c>
      <c r="P289" s="283" t="s">
        <v>918</v>
      </c>
      <c r="Q289" s="283">
        <f t="shared" si="34"/>
        <v>631.91544656987708</v>
      </c>
      <c r="R289" s="283">
        <f t="shared" si="35"/>
        <v>674.75717176105525</v>
      </c>
      <c r="S289" s="33"/>
      <c r="T289" s="33"/>
    </row>
    <row r="290" spans="1:20" ht="25.5" customHeight="1" x14ac:dyDescent="0.25">
      <c r="B290" s="34">
        <v>283</v>
      </c>
      <c r="C290" s="41" t="s">
        <v>485</v>
      </c>
      <c r="D290" s="82" t="s">
        <v>486</v>
      </c>
      <c r="E290" s="41" t="s">
        <v>157</v>
      </c>
      <c r="F290" s="253">
        <v>10.64</v>
      </c>
      <c r="G290" s="253">
        <v>65.41</v>
      </c>
      <c r="H290" s="41" t="s">
        <v>924</v>
      </c>
      <c r="I290" s="88" t="s">
        <v>930</v>
      </c>
      <c r="J290" s="283">
        <v>695.9624</v>
      </c>
      <c r="K290" s="284">
        <f t="shared" si="32"/>
        <v>1</v>
      </c>
      <c r="L290" s="285">
        <v>0</v>
      </c>
      <c r="M290" s="283">
        <f t="shared" si="30"/>
        <v>695.9624</v>
      </c>
      <c r="N290" s="283" t="str">
        <f>"Calculated ("&amp;F290&amp;" kg/"&amp;E290&amp;" @ INR "&amp;G290&amp;" per kg)"</f>
        <v>Calculated (10.64 kg/Nos. @ INR 65.41 per kg)</v>
      </c>
      <c r="O290" s="253">
        <f t="shared" si="33"/>
        <v>695.9624</v>
      </c>
      <c r="P290" s="283" t="s">
        <v>918</v>
      </c>
      <c r="Q290" s="283">
        <f t="shared" si="34"/>
        <v>821.23563200000001</v>
      </c>
      <c r="R290" s="283">
        <f t="shared" si="35"/>
        <v>876.91262400000005</v>
      </c>
      <c r="S290" s="33"/>
      <c r="T290" s="33"/>
    </row>
    <row r="291" spans="1:20" ht="25.5" customHeight="1" x14ac:dyDescent="0.25">
      <c r="B291" s="34">
        <v>284</v>
      </c>
      <c r="C291" s="41">
        <v>10.1</v>
      </c>
      <c r="D291" s="82" t="s">
        <v>1285</v>
      </c>
      <c r="E291" s="41" t="s">
        <v>157</v>
      </c>
      <c r="F291" s="253">
        <v>10.64</v>
      </c>
      <c r="G291" s="253" t="e">
        <f>AVERAGE((#REF!/F291),#REF!,#REF!,#REF!)</f>
        <v>#REF!</v>
      </c>
      <c r="H291" s="41" t="s">
        <v>915</v>
      </c>
      <c r="I291" s="88" t="s">
        <v>930</v>
      </c>
      <c r="J291" s="283">
        <v>484.57</v>
      </c>
      <c r="K291" s="284">
        <f t="shared" si="32"/>
        <v>1.0126343788097087</v>
      </c>
      <c r="L291" s="285">
        <f>$V$8</f>
        <v>1.2634378809708687E-2</v>
      </c>
      <c r="M291" s="283">
        <f t="shared" si="30"/>
        <v>490.69224093982058</v>
      </c>
      <c r="N291" s="283" t="s">
        <v>1286</v>
      </c>
      <c r="O291" s="253">
        <f t="shared" si="33"/>
        <v>490.69224093982058</v>
      </c>
      <c r="P291" s="283" t="s">
        <v>918</v>
      </c>
      <c r="Q291" s="283">
        <f t="shared" si="34"/>
        <v>579.0168443089882</v>
      </c>
      <c r="R291" s="283">
        <f t="shared" si="35"/>
        <v>618.27222358417396</v>
      </c>
      <c r="S291" s="33"/>
      <c r="T291" s="33"/>
    </row>
    <row r="292" spans="1:20" s="304" customFormat="1" ht="25.5" customHeight="1" x14ac:dyDescent="0.25">
      <c r="A292"/>
      <c r="B292" s="34">
        <v>285</v>
      </c>
      <c r="C292" s="41" t="s">
        <v>455</v>
      </c>
      <c r="D292" s="85" t="s">
        <v>1287</v>
      </c>
      <c r="E292" s="88" t="s">
        <v>158</v>
      </c>
      <c r="F292" s="253">
        <v>53.44</v>
      </c>
      <c r="G292" s="253">
        <v>65.41</v>
      </c>
      <c r="H292" s="41" t="s">
        <v>924</v>
      </c>
      <c r="I292" s="88" t="s">
        <v>930</v>
      </c>
      <c r="J292" s="283">
        <v>3495.5103999999997</v>
      </c>
      <c r="K292" s="284">
        <f t="shared" si="32"/>
        <v>1</v>
      </c>
      <c r="L292" s="285">
        <v>0</v>
      </c>
      <c r="M292" s="283">
        <f t="shared" si="30"/>
        <v>3495.5103999999997</v>
      </c>
      <c r="N292" s="283" t="str">
        <f>"Calculated ("&amp;F292&amp;" kg/"&amp;E292&amp;" @ INR "&amp;G292&amp;" per kg)"</f>
        <v>Calculated (53.44 kg/Set @ INR 65.41 per kg)</v>
      </c>
      <c r="O292" s="253">
        <f t="shared" si="33"/>
        <v>3495.5103999999997</v>
      </c>
      <c r="P292" s="283" t="s">
        <v>918</v>
      </c>
      <c r="Q292" s="283">
        <f t="shared" si="34"/>
        <v>4124.7022719999995</v>
      </c>
      <c r="R292" s="283">
        <f t="shared" si="35"/>
        <v>4404.3431039999996</v>
      </c>
      <c r="S292" s="33"/>
    </row>
    <row r="293" spans="1:20" s="304" customFormat="1" ht="25.5" customHeight="1" x14ac:dyDescent="0.25">
      <c r="A293"/>
      <c r="B293" s="34">
        <v>286</v>
      </c>
      <c r="C293" s="41" t="s">
        <v>1288</v>
      </c>
      <c r="D293" s="85" t="s">
        <v>1289</v>
      </c>
      <c r="E293" s="88" t="s">
        <v>158</v>
      </c>
      <c r="F293" s="253">
        <v>53.44</v>
      </c>
      <c r="G293" s="253">
        <v>43.89</v>
      </c>
      <c r="H293" s="41" t="s">
        <v>924</v>
      </c>
      <c r="I293" s="88" t="s">
        <v>930</v>
      </c>
      <c r="J293" s="283">
        <v>2345.4816000000001</v>
      </c>
      <c r="K293" s="284">
        <f t="shared" si="32"/>
        <v>1.0126343788097087</v>
      </c>
      <c r="L293" s="285">
        <f>$V$8</f>
        <v>1.2634378809708687E-2</v>
      </c>
      <c r="M293" s="283">
        <f t="shared" si="30"/>
        <v>2375.1153030256019</v>
      </c>
      <c r="N293" s="283" t="str">
        <f>"Calculated ("&amp;F293&amp;" kg/"&amp;E293&amp;" @ INR "&amp;G293&amp;" per kg)"</f>
        <v>Calculated (53.44 kg/Set @ INR 43.89 per kg)</v>
      </c>
      <c r="O293" s="253">
        <f t="shared" si="33"/>
        <v>2375.1153030256019</v>
      </c>
      <c r="P293" s="283" t="s">
        <v>918</v>
      </c>
      <c r="Q293" s="283">
        <f t="shared" si="34"/>
        <v>2802.6360575702101</v>
      </c>
      <c r="R293" s="283">
        <f t="shared" si="35"/>
        <v>2992.6452818122584</v>
      </c>
      <c r="S293" s="33"/>
    </row>
    <row r="294" spans="1:20" s="304" customFormat="1" ht="25.5" customHeight="1" x14ac:dyDescent="0.25">
      <c r="A294"/>
      <c r="B294" s="34">
        <v>287</v>
      </c>
      <c r="C294" s="41" t="s">
        <v>454</v>
      </c>
      <c r="D294" s="85" t="s">
        <v>1290</v>
      </c>
      <c r="E294" s="88" t="s">
        <v>158</v>
      </c>
      <c r="F294" s="253">
        <v>53.44</v>
      </c>
      <c r="G294" s="253">
        <v>65.41</v>
      </c>
      <c r="H294" s="41" t="s">
        <v>924</v>
      </c>
      <c r="I294" s="88" t="s">
        <v>930</v>
      </c>
      <c r="J294" s="283">
        <v>3495.5103999999997</v>
      </c>
      <c r="K294" s="284">
        <f t="shared" si="32"/>
        <v>1</v>
      </c>
      <c r="L294" s="285">
        <v>0</v>
      </c>
      <c r="M294" s="283">
        <f t="shared" si="30"/>
        <v>3495.5103999999997</v>
      </c>
      <c r="N294" s="283" t="str">
        <f>"Calculated ("&amp;F294&amp;" kg/"&amp;E294&amp;" @ INR "&amp;G294&amp;" per kg)"</f>
        <v>Calculated (53.44 kg/Set @ INR 65.41 per kg)</v>
      </c>
      <c r="O294" s="253">
        <f t="shared" si="33"/>
        <v>3495.5103999999997</v>
      </c>
      <c r="P294" s="283" t="s">
        <v>918</v>
      </c>
      <c r="Q294" s="283">
        <f t="shared" si="34"/>
        <v>4124.7022719999995</v>
      </c>
      <c r="R294" s="283">
        <f t="shared" si="35"/>
        <v>4404.3431039999996</v>
      </c>
      <c r="S294" s="33"/>
    </row>
    <row r="295" spans="1:20" ht="15" customHeight="1" x14ac:dyDescent="0.25">
      <c r="B295" s="34">
        <v>288</v>
      </c>
      <c r="C295" s="72">
        <v>34.1</v>
      </c>
      <c r="D295" s="82" t="s">
        <v>1291</v>
      </c>
      <c r="E295" s="41" t="s">
        <v>158</v>
      </c>
      <c r="F295" s="253">
        <v>53.44</v>
      </c>
      <c r="G295" s="253">
        <v>43.89</v>
      </c>
      <c r="H295" s="41" t="s">
        <v>915</v>
      </c>
      <c r="I295" s="88" t="s">
        <v>930</v>
      </c>
      <c r="J295" s="283">
        <v>2366</v>
      </c>
      <c r="K295" s="284">
        <f t="shared" si="32"/>
        <v>1.0126343788097087</v>
      </c>
      <c r="L295" s="285">
        <f>$V$8</f>
        <v>1.2634378809708687E-2</v>
      </c>
      <c r="M295" s="283">
        <f t="shared" si="30"/>
        <v>2395.8929402637709</v>
      </c>
      <c r="N295" s="283" t="s">
        <v>956</v>
      </c>
      <c r="O295" s="253">
        <f t="shared" si="33"/>
        <v>2395.8929402637709</v>
      </c>
      <c r="P295" s="283" t="s">
        <v>918</v>
      </c>
      <c r="Q295" s="283">
        <f t="shared" si="34"/>
        <v>2827.1536695112495</v>
      </c>
      <c r="R295" s="283">
        <f t="shared" si="35"/>
        <v>3018.8251047323515</v>
      </c>
      <c r="S295" s="33"/>
      <c r="T295" s="33"/>
    </row>
    <row r="296" spans="1:20" ht="25.5" customHeight="1" x14ac:dyDescent="0.25">
      <c r="B296" s="34">
        <v>289</v>
      </c>
      <c r="C296" s="41" t="s">
        <v>409</v>
      </c>
      <c r="D296" s="82" t="s">
        <v>1292</v>
      </c>
      <c r="E296" s="88" t="s">
        <v>158</v>
      </c>
      <c r="F296" s="253">
        <v>52</v>
      </c>
      <c r="G296" s="253">
        <v>65.41</v>
      </c>
      <c r="H296" s="41" t="s">
        <v>924</v>
      </c>
      <c r="I296" s="88" t="s">
        <v>930</v>
      </c>
      <c r="J296" s="283">
        <v>3401.3199999999997</v>
      </c>
      <c r="K296" s="284">
        <f t="shared" si="32"/>
        <v>1</v>
      </c>
      <c r="L296" s="285">
        <v>0</v>
      </c>
      <c r="M296" s="283">
        <f t="shared" si="30"/>
        <v>3401.3199999999997</v>
      </c>
      <c r="N296" s="283" t="str">
        <f>"Calculated ("&amp;F296&amp;" kg/"&amp;E296&amp;" @ INR "&amp;G296&amp;" per kg)"</f>
        <v>Calculated (52 kg/Set @ INR 65.41 per kg)</v>
      </c>
      <c r="O296" s="253">
        <f t="shared" si="33"/>
        <v>3401.3199999999997</v>
      </c>
      <c r="P296" s="283" t="s">
        <v>918</v>
      </c>
      <c r="Q296" s="283">
        <f t="shared" si="34"/>
        <v>4013.5575999999996</v>
      </c>
      <c r="R296" s="283">
        <f t="shared" si="35"/>
        <v>4285.6632</v>
      </c>
      <c r="S296" s="33"/>
      <c r="T296" s="33"/>
    </row>
    <row r="297" spans="1:20" ht="15" customHeight="1" x14ac:dyDescent="0.25">
      <c r="B297" s="34">
        <v>290</v>
      </c>
      <c r="C297" s="72">
        <v>32.1</v>
      </c>
      <c r="D297" s="82" t="s">
        <v>1293</v>
      </c>
      <c r="E297" s="41" t="s">
        <v>158</v>
      </c>
      <c r="F297" s="253">
        <v>52</v>
      </c>
      <c r="G297" s="253">
        <v>52.15</v>
      </c>
      <c r="H297" s="41" t="s">
        <v>915</v>
      </c>
      <c r="I297" s="88" t="s">
        <v>930</v>
      </c>
      <c r="J297" s="283">
        <v>2545.3333333333335</v>
      </c>
      <c r="K297" s="284">
        <f t="shared" si="32"/>
        <v>1.0126343788097087</v>
      </c>
      <c r="L297" s="285">
        <f>$V$8</f>
        <v>1.2634378809708687E-2</v>
      </c>
      <c r="M297" s="283">
        <f t="shared" si="30"/>
        <v>2577.4920388636456</v>
      </c>
      <c r="N297" s="283" t="s">
        <v>956</v>
      </c>
      <c r="O297" s="253">
        <f t="shared" si="33"/>
        <v>2577.4920388636456</v>
      </c>
      <c r="P297" s="283" t="s">
        <v>918</v>
      </c>
      <c r="Q297" s="283">
        <f t="shared" si="34"/>
        <v>3041.4406058591017</v>
      </c>
      <c r="R297" s="283">
        <f t="shared" si="35"/>
        <v>3247.6399689681934</v>
      </c>
      <c r="S297" s="33"/>
      <c r="T297" s="33"/>
    </row>
    <row r="298" spans="1:20" ht="25.5" customHeight="1" x14ac:dyDescent="0.25">
      <c r="B298" s="34">
        <v>291</v>
      </c>
      <c r="C298" s="41" t="s">
        <v>425</v>
      </c>
      <c r="D298" s="85" t="s">
        <v>1294</v>
      </c>
      <c r="E298" s="88" t="s">
        <v>158</v>
      </c>
      <c r="F298" s="253">
        <v>32.32</v>
      </c>
      <c r="G298" s="253">
        <v>65.41</v>
      </c>
      <c r="H298" s="41" t="s">
        <v>924</v>
      </c>
      <c r="I298" s="88" t="s">
        <v>930</v>
      </c>
      <c r="J298" s="283">
        <v>2114.0511999999999</v>
      </c>
      <c r="K298" s="284">
        <f t="shared" si="32"/>
        <v>1</v>
      </c>
      <c r="L298" s="285">
        <v>0</v>
      </c>
      <c r="M298" s="283">
        <f t="shared" si="30"/>
        <v>2114.0511999999999</v>
      </c>
      <c r="N298" s="283" t="str">
        <f>"Calculated ("&amp;F298&amp;" kg/"&amp;E298&amp;" @ INR "&amp;G298&amp;" per kg)"</f>
        <v>Calculated (32.32 kg/Set @ INR 65.41 per kg)</v>
      </c>
      <c r="O298" s="253">
        <f t="shared" si="33"/>
        <v>2114.0511999999999</v>
      </c>
      <c r="P298" s="283" t="s">
        <v>918</v>
      </c>
      <c r="Q298" s="283">
        <f t="shared" si="34"/>
        <v>2494.5804159999998</v>
      </c>
      <c r="R298" s="283">
        <f t="shared" si="35"/>
        <v>2663.7045119999998</v>
      </c>
      <c r="S298" s="33"/>
      <c r="T298" s="33"/>
    </row>
    <row r="299" spans="1:20" ht="15" customHeight="1" x14ac:dyDescent="0.25">
      <c r="B299" s="34">
        <v>292</v>
      </c>
      <c r="C299" s="72">
        <v>33.1</v>
      </c>
      <c r="D299" s="82" t="s">
        <v>1295</v>
      </c>
      <c r="E299" s="41" t="s">
        <v>158</v>
      </c>
      <c r="F299" s="253">
        <v>32.32</v>
      </c>
      <c r="G299" s="253">
        <v>44.02</v>
      </c>
      <c r="H299" s="41" t="s">
        <v>915</v>
      </c>
      <c r="I299" s="88" t="s">
        <v>930</v>
      </c>
      <c r="J299" s="283">
        <v>1494.48</v>
      </c>
      <c r="K299" s="284">
        <f t="shared" si="32"/>
        <v>1.0126343788097087</v>
      </c>
      <c r="L299" s="285">
        <f>$V$8</f>
        <v>1.2634378809708687E-2</v>
      </c>
      <c r="M299" s="283">
        <f t="shared" si="30"/>
        <v>1513.3618264435336</v>
      </c>
      <c r="N299" s="283" t="s">
        <v>961</v>
      </c>
      <c r="O299" s="253">
        <f t="shared" si="33"/>
        <v>1513.3618264435336</v>
      </c>
      <c r="P299" s="283" t="s">
        <v>918</v>
      </c>
      <c r="Q299" s="283">
        <f t="shared" si="34"/>
        <v>1785.7669552033694</v>
      </c>
      <c r="R299" s="283">
        <f t="shared" si="35"/>
        <v>1906.8359013188524</v>
      </c>
      <c r="S299" s="33"/>
      <c r="T299" s="33"/>
    </row>
    <row r="300" spans="1:20" ht="25.5" customHeight="1" x14ac:dyDescent="0.25">
      <c r="B300" s="34">
        <v>293</v>
      </c>
      <c r="C300" s="41" t="s">
        <v>457</v>
      </c>
      <c r="D300" s="85" t="s">
        <v>1296</v>
      </c>
      <c r="E300" s="88" t="s">
        <v>158</v>
      </c>
      <c r="F300" s="253">
        <v>53.44</v>
      </c>
      <c r="G300" s="253">
        <v>65.41</v>
      </c>
      <c r="H300" s="41" t="s">
        <v>924</v>
      </c>
      <c r="I300" s="88" t="s">
        <v>930</v>
      </c>
      <c r="J300" s="283">
        <v>3495.5103999999997</v>
      </c>
      <c r="K300" s="284">
        <f t="shared" si="32"/>
        <v>1</v>
      </c>
      <c r="L300" s="285">
        <v>0</v>
      </c>
      <c r="M300" s="283">
        <f t="shared" si="30"/>
        <v>3495.5103999999997</v>
      </c>
      <c r="N300" s="283" t="str">
        <f>"Calculated ("&amp;F300&amp;" kg/"&amp;E300&amp;" @ INR "&amp;G300&amp;" per kg)"</f>
        <v>Calculated (53.44 kg/Set @ INR 65.41 per kg)</v>
      </c>
      <c r="O300" s="253">
        <f t="shared" si="33"/>
        <v>3495.5103999999997</v>
      </c>
      <c r="P300" s="283" t="s">
        <v>918</v>
      </c>
      <c r="Q300" s="283">
        <f t="shared" si="34"/>
        <v>4124.7022719999995</v>
      </c>
      <c r="R300" s="283">
        <f t="shared" si="35"/>
        <v>4404.3431039999996</v>
      </c>
      <c r="S300" s="33"/>
      <c r="T300" s="33"/>
    </row>
    <row r="301" spans="1:20" ht="25.5" customHeight="1" x14ac:dyDescent="0.25">
      <c r="B301" s="34">
        <v>294</v>
      </c>
      <c r="C301" s="41" t="s">
        <v>1297</v>
      </c>
      <c r="D301" s="85" t="s">
        <v>1298</v>
      </c>
      <c r="E301" s="88" t="s">
        <v>158</v>
      </c>
      <c r="F301" s="253">
        <v>53.44</v>
      </c>
      <c r="G301" s="253">
        <v>43.89</v>
      </c>
      <c r="H301" s="41" t="s">
        <v>924</v>
      </c>
      <c r="I301" s="88" t="s">
        <v>930</v>
      </c>
      <c r="J301" s="283">
        <v>2345.4816000000001</v>
      </c>
      <c r="K301" s="284">
        <f t="shared" si="32"/>
        <v>1.0126343788097087</v>
      </c>
      <c r="L301" s="285">
        <f>$V$8</f>
        <v>1.2634378809708687E-2</v>
      </c>
      <c r="M301" s="283">
        <f t="shared" si="30"/>
        <v>2375.1153030256019</v>
      </c>
      <c r="N301" s="283" t="str">
        <f>"Calculated ("&amp;F301&amp;" kg/"&amp;E301&amp;" @ INR "&amp;G301&amp;" per kg)"</f>
        <v>Calculated (53.44 kg/Set @ INR 43.89 per kg)</v>
      </c>
      <c r="O301" s="253">
        <f t="shared" si="33"/>
        <v>2375.1153030256019</v>
      </c>
      <c r="P301" s="283" t="s">
        <v>918</v>
      </c>
      <c r="Q301" s="283">
        <f t="shared" si="34"/>
        <v>2802.6360575702101</v>
      </c>
      <c r="R301" s="283">
        <f t="shared" si="35"/>
        <v>2992.6452818122584</v>
      </c>
      <c r="S301" s="33"/>
      <c r="T301" s="33"/>
    </row>
    <row r="302" spans="1:20" ht="25.5" customHeight="1" x14ac:dyDescent="0.25">
      <c r="B302" s="34">
        <v>295</v>
      </c>
      <c r="C302" s="41" t="s">
        <v>460</v>
      </c>
      <c r="D302" s="85" t="s">
        <v>461</v>
      </c>
      <c r="E302" s="41" t="s">
        <v>158</v>
      </c>
      <c r="F302" s="253">
        <v>32</v>
      </c>
      <c r="G302" s="253">
        <v>65.41</v>
      </c>
      <c r="H302" s="41" t="s">
        <v>924</v>
      </c>
      <c r="I302" s="88" t="s">
        <v>930</v>
      </c>
      <c r="J302" s="283">
        <v>2093.12</v>
      </c>
      <c r="K302" s="284">
        <f t="shared" si="32"/>
        <v>1</v>
      </c>
      <c r="L302" s="285">
        <v>0</v>
      </c>
      <c r="M302" s="283">
        <f t="shared" si="30"/>
        <v>2093.12</v>
      </c>
      <c r="N302" s="283" t="str">
        <f>"Calculated ("&amp;F302&amp;" kg/"&amp;E302&amp;" @ INR "&amp;G302&amp;" per kg)"</f>
        <v>Calculated (32 kg/Set @ INR 65.41 per kg)</v>
      </c>
      <c r="O302" s="253">
        <f t="shared" si="33"/>
        <v>2093.12</v>
      </c>
      <c r="P302" s="283" t="s">
        <v>918</v>
      </c>
      <c r="Q302" s="283">
        <f t="shared" si="34"/>
        <v>2469.8815999999997</v>
      </c>
      <c r="R302" s="283">
        <f t="shared" si="35"/>
        <v>2637.3312000000001</v>
      </c>
      <c r="S302" s="33"/>
      <c r="T302" s="33"/>
    </row>
    <row r="303" spans="1:20" ht="25.5" customHeight="1" x14ac:dyDescent="0.25">
      <c r="B303" s="34">
        <v>296</v>
      </c>
      <c r="C303" s="72">
        <v>53.1</v>
      </c>
      <c r="D303" s="82" t="s">
        <v>1299</v>
      </c>
      <c r="E303" s="41" t="s">
        <v>158</v>
      </c>
      <c r="F303" s="253">
        <v>32</v>
      </c>
      <c r="G303" s="253">
        <v>43.2</v>
      </c>
      <c r="H303" s="41" t="s">
        <v>915</v>
      </c>
      <c r="I303" s="88" t="s">
        <v>930</v>
      </c>
      <c r="J303" s="283">
        <v>1393.5</v>
      </c>
      <c r="K303" s="284">
        <f t="shared" si="32"/>
        <v>1.0126343788097087</v>
      </c>
      <c r="L303" s="285">
        <f>$V$8</f>
        <v>1.2634378809708687E-2</v>
      </c>
      <c r="M303" s="283">
        <f t="shared" si="30"/>
        <v>1411.1060068713291</v>
      </c>
      <c r="N303" s="283" t="s">
        <v>961</v>
      </c>
      <c r="O303" s="253">
        <f t="shared" si="33"/>
        <v>1411.1060068713291</v>
      </c>
      <c r="P303" s="283" t="s">
        <v>918</v>
      </c>
      <c r="Q303" s="283">
        <f t="shared" si="34"/>
        <v>1665.1050881081683</v>
      </c>
      <c r="R303" s="283">
        <f t="shared" si="35"/>
        <v>1777.9935686578747</v>
      </c>
      <c r="S303" s="33"/>
      <c r="T303" s="33"/>
    </row>
    <row r="304" spans="1:20" ht="25.5" customHeight="1" x14ac:dyDescent="0.25">
      <c r="B304" s="34">
        <v>297</v>
      </c>
      <c r="C304" s="41" t="s">
        <v>399</v>
      </c>
      <c r="D304" s="85" t="s">
        <v>641</v>
      </c>
      <c r="E304" s="41" t="s">
        <v>157</v>
      </c>
      <c r="F304" s="253">
        <v>1.79</v>
      </c>
      <c r="G304" s="253">
        <v>65.41</v>
      </c>
      <c r="H304" s="41" t="s">
        <v>924</v>
      </c>
      <c r="I304" s="88" t="s">
        <v>930</v>
      </c>
      <c r="J304" s="283">
        <v>117.0839</v>
      </c>
      <c r="K304" s="284">
        <f t="shared" si="32"/>
        <v>1</v>
      </c>
      <c r="L304" s="285">
        <v>0</v>
      </c>
      <c r="M304" s="283">
        <f t="shared" si="30"/>
        <v>117.0839</v>
      </c>
      <c r="N304" s="283" t="str">
        <f>"Calculated ("&amp;F304&amp;" kg/"&amp;E304&amp;" @ INR "&amp;G304&amp;" per kg)"</f>
        <v>Calculated (1.79 kg/Nos. @ INR 65.41 per kg)</v>
      </c>
      <c r="O304" s="253">
        <f t="shared" si="33"/>
        <v>117.0839</v>
      </c>
      <c r="P304" s="283" t="s">
        <v>918</v>
      </c>
      <c r="Q304" s="283">
        <f t="shared" si="34"/>
        <v>138.15900199999999</v>
      </c>
      <c r="R304" s="283">
        <f t="shared" si="35"/>
        <v>147.52571399999999</v>
      </c>
      <c r="S304" s="33"/>
      <c r="T304" s="33"/>
    </row>
    <row r="305" spans="2:20" ht="15" customHeight="1" x14ac:dyDescent="0.25">
      <c r="B305" s="34">
        <v>298</v>
      </c>
      <c r="C305" s="72">
        <v>43.1</v>
      </c>
      <c r="D305" s="85" t="s">
        <v>1300</v>
      </c>
      <c r="E305" s="41" t="s">
        <v>157</v>
      </c>
      <c r="F305" s="253">
        <v>1.79</v>
      </c>
      <c r="G305" s="253">
        <v>46.53</v>
      </c>
      <c r="H305" s="41" t="s">
        <v>915</v>
      </c>
      <c r="I305" s="88" t="s">
        <v>930</v>
      </c>
      <c r="J305" s="283">
        <v>81.207499999999996</v>
      </c>
      <c r="K305" s="284">
        <f t="shared" si="32"/>
        <v>1.0126343788097087</v>
      </c>
      <c r="L305" s="285">
        <f>$V$8</f>
        <v>1.2634378809708687E-2</v>
      </c>
      <c r="M305" s="283">
        <f t="shared" si="30"/>
        <v>82.233506317189423</v>
      </c>
      <c r="N305" s="283" t="s">
        <v>961</v>
      </c>
      <c r="O305" s="253">
        <f t="shared" si="33"/>
        <v>82.233506317189423</v>
      </c>
      <c r="P305" s="283" t="s">
        <v>918</v>
      </c>
      <c r="Q305" s="283">
        <f t="shared" si="34"/>
        <v>97.035537454283514</v>
      </c>
      <c r="R305" s="283">
        <f t="shared" si="35"/>
        <v>103.61421795965867</v>
      </c>
      <c r="S305" s="33"/>
      <c r="T305" s="33"/>
    </row>
    <row r="306" spans="2:20" ht="25.5" customHeight="1" x14ac:dyDescent="0.25">
      <c r="B306" s="34">
        <v>299</v>
      </c>
      <c r="C306" s="41" t="s">
        <v>414</v>
      </c>
      <c r="D306" s="85" t="s">
        <v>1301</v>
      </c>
      <c r="E306" s="41" t="s">
        <v>157</v>
      </c>
      <c r="F306" s="253">
        <v>1.95</v>
      </c>
      <c r="G306" s="253">
        <v>65.400000000000006</v>
      </c>
      <c r="H306" s="41" t="s">
        <v>924</v>
      </c>
      <c r="I306" s="88" t="s">
        <v>930</v>
      </c>
      <c r="J306" s="283">
        <v>127.53</v>
      </c>
      <c r="K306" s="284">
        <f t="shared" si="32"/>
        <v>1</v>
      </c>
      <c r="L306" s="285">
        <v>0</v>
      </c>
      <c r="M306" s="283">
        <f t="shared" ref="M306:M369" si="36">J306*K306</f>
        <v>127.53</v>
      </c>
      <c r="N306" s="283" t="str">
        <f t="shared" ref="N306:N319" si="37">"Calculated ("&amp;F306&amp;" kg/"&amp;E306&amp;" @ INR "&amp;G306&amp;" per kg)"</f>
        <v>Calculated (1.95 kg/Nos. @ INR 65.4 per kg)</v>
      </c>
      <c r="O306" s="253">
        <f t="shared" si="33"/>
        <v>127.53</v>
      </c>
      <c r="P306" s="283" t="s">
        <v>918</v>
      </c>
      <c r="Q306" s="283">
        <f t="shared" si="34"/>
        <v>150.4854</v>
      </c>
      <c r="R306" s="283">
        <f t="shared" si="35"/>
        <v>160.68780000000001</v>
      </c>
      <c r="S306" s="33"/>
      <c r="T306" s="33"/>
    </row>
    <row r="307" spans="2:20" ht="25.5" customHeight="1" x14ac:dyDescent="0.25">
      <c r="B307" s="34">
        <v>300</v>
      </c>
      <c r="C307" s="41" t="s">
        <v>1302</v>
      </c>
      <c r="D307" s="85" t="s">
        <v>1303</v>
      </c>
      <c r="E307" s="41" t="s">
        <v>157</v>
      </c>
      <c r="F307" s="253">
        <v>1.95</v>
      </c>
      <c r="G307" s="253">
        <v>46.8</v>
      </c>
      <c r="H307" s="41" t="s">
        <v>924</v>
      </c>
      <c r="I307" s="88" t="s">
        <v>930</v>
      </c>
      <c r="J307" s="283">
        <v>91.259999999999991</v>
      </c>
      <c r="K307" s="284">
        <f t="shared" si="32"/>
        <v>1.0126343788097087</v>
      </c>
      <c r="L307" s="285">
        <f>$V$8</f>
        <v>1.2634378809708687E-2</v>
      </c>
      <c r="M307" s="283">
        <f t="shared" si="36"/>
        <v>92.413013410174017</v>
      </c>
      <c r="N307" s="283" t="str">
        <f t="shared" si="37"/>
        <v>Calculated (1.95 kg/Nos. @ INR 46.8 per kg)</v>
      </c>
      <c r="O307" s="253">
        <f t="shared" si="33"/>
        <v>92.413013410174017</v>
      </c>
      <c r="P307" s="283" t="s">
        <v>918</v>
      </c>
      <c r="Q307" s="283">
        <f t="shared" si="34"/>
        <v>109.04735582400534</v>
      </c>
      <c r="R307" s="283">
        <f t="shared" si="35"/>
        <v>116.44039689681927</v>
      </c>
      <c r="S307" s="33"/>
      <c r="T307" s="33"/>
    </row>
    <row r="308" spans="2:20" ht="25.5" customHeight="1" x14ac:dyDescent="0.25">
      <c r="B308" s="34">
        <v>301</v>
      </c>
      <c r="C308" s="41" t="s">
        <v>1304</v>
      </c>
      <c r="D308" s="85" t="s">
        <v>1305</v>
      </c>
      <c r="E308" s="41" t="s">
        <v>157</v>
      </c>
      <c r="F308" s="253">
        <v>1</v>
      </c>
      <c r="G308" s="253">
        <v>65.41</v>
      </c>
      <c r="H308" s="41" t="s">
        <v>924</v>
      </c>
      <c r="I308" s="88" t="s">
        <v>930</v>
      </c>
      <c r="J308" s="283">
        <v>65.41</v>
      </c>
      <c r="K308" s="284">
        <f t="shared" si="32"/>
        <v>1</v>
      </c>
      <c r="L308" s="285">
        <v>0</v>
      </c>
      <c r="M308" s="283">
        <f t="shared" si="36"/>
        <v>65.41</v>
      </c>
      <c r="N308" s="283" t="str">
        <f t="shared" si="37"/>
        <v>Calculated (1 kg/Nos. @ INR 65.41 per kg)</v>
      </c>
      <c r="O308" s="253">
        <f t="shared" si="33"/>
        <v>65.41</v>
      </c>
      <c r="P308" s="283" t="s">
        <v>918</v>
      </c>
      <c r="Q308" s="283">
        <f t="shared" si="34"/>
        <v>77.183799999999991</v>
      </c>
      <c r="R308" s="283">
        <f t="shared" si="35"/>
        <v>82.416600000000003</v>
      </c>
      <c r="S308" s="33"/>
      <c r="T308" s="33"/>
    </row>
    <row r="309" spans="2:20" ht="25.5" customHeight="1" x14ac:dyDescent="0.25">
      <c r="B309" s="34">
        <v>302</v>
      </c>
      <c r="C309" s="41" t="s">
        <v>1306</v>
      </c>
      <c r="D309" s="85" t="s">
        <v>1307</v>
      </c>
      <c r="E309" s="41" t="s">
        <v>157</v>
      </c>
      <c r="F309" s="253">
        <v>1</v>
      </c>
      <c r="G309" s="253">
        <v>46.8</v>
      </c>
      <c r="H309" s="41" t="s">
        <v>924</v>
      </c>
      <c r="I309" s="88" t="s">
        <v>930</v>
      </c>
      <c r="J309" s="283">
        <v>46.8</v>
      </c>
      <c r="K309" s="284">
        <f t="shared" si="32"/>
        <v>1.0126343788097087</v>
      </c>
      <c r="L309" s="285">
        <f>$V$8</f>
        <v>1.2634378809708687E-2</v>
      </c>
      <c r="M309" s="283">
        <f t="shared" si="36"/>
        <v>47.391288928294365</v>
      </c>
      <c r="N309" s="283" t="str">
        <f t="shared" si="37"/>
        <v>Calculated (1 kg/Nos. @ INR 46.8 per kg)</v>
      </c>
      <c r="O309" s="253">
        <f t="shared" si="33"/>
        <v>47.391288928294365</v>
      </c>
      <c r="P309" s="283" t="s">
        <v>918</v>
      </c>
      <c r="Q309" s="283">
        <f t="shared" si="34"/>
        <v>55.921720935387349</v>
      </c>
      <c r="R309" s="283">
        <f t="shared" si="35"/>
        <v>59.713024049650897</v>
      </c>
      <c r="S309" s="33"/>
      <c r="T309" s="33"/>
    </row>
    <row r="310" spans="2:20" ht="25.5" customHeight="1" x14ac:dyDescent="0.25">
      <c r="B310" s="34">
        <v>303</v>
      </c>
      <c r="C310" s="41" t="s">
        <v>1308</v>
      </c>
      <c r="D310" s="85" t="s">
        <v>1309</v>
      </c>
      <c r="E310" s="41" t="s">
        <v>157</v>
      </c>
      <c r="F310" s="253">
        <v>1</v>
      </c>
      <c r="G310" s="253">
        <v>65.400000000000006</v>
      </c>
      <c r="H310" s="41" t="s">
        <v>924</v>
      </c>
      <c r="I310" s="88" t="s">
        <v>930</v>
      </c>
      <c r="J310" s="283">
        <v>65.400000000000006</v>
      </c>
      <c r="K310" s="284">
        <f t="shared" si="32"/>
        <v>1</v>
      </c>
      <c r="L310" s="285">
        <v>0</v>
      </c>
      <c r="M310" s="283">
        <f t="shared" si="36"/>
        <v>65.400000000000006</v>
      </c>
      <c r="N310" s="283" t="str">
        <f t="shared" si="37"/>
        <v>Calculated (1 kg/Nos. @ INR 65.4 per kg)</v>
      </c>
      <c r="O310" s="253">
        <f t="shared" si="33"/>
        <v>65.400000000000006</v>
      </c>
      <c r="P310" s="283" t="s">
        <v>918</v>
      </c>
      <c r="Q310" s="283">
        <f t="shared" si="34"/>
        <v>77.171999999999997</v>
      </c>
      <c r="R310" s="283">
        <f t="shared" si="35"/>
        <v>82.404000000000011</v>
      </c>
      <c r="S310" s="33"/>
      <c r="T310" s="33"/>
    </row>
    <row r="311" spans="2:20" ht="25.5" customHeight="1" x14ac:dyDescent="0.25">
      <c r="B311" s="34">
        <v>304</v>
      </c>
      <c r="C311" s="41" t="s">
        <v>1310</v>
      </c>
      <c r="D311" s="85" t="s">
        <v>1311</v>
      </c>
      <c r="E311" s="41" t="s">
        <v>157</v>
      </c>
      <c r="F311" s="253">
        <v>1</v>
      </c>
      <c r="G311" s="253">
        <v>46.8</v>
      </c>
      <c r="H311" s="41" t="s">
        <v>924</v>
      </c>
      <c r="I311" s="88" t="s">
        <v>930</v>
      </c>
      <c r="J311" s="283">
        <v>46.8</v>
      </c>
      <c r="K311" s="284">
        <f t="shared" si="32"/>
        <v>1.0126343788097087</v>
      </c>
      <c r="L311" s="285">
        <f>$V$8</f>
        <v>1.2634378809708687E-2</v>
      </c>
      <c r="M311" s="283">
        <f t="shared" si="36"/>
        <v>47.391288928294365</v>
      </c>
      <c r="N311" s="283" t="str">
        <f t="shared" si="37"/>
        <v>Calculated (1 kg/Nos. @ INR 46.8 per kg)</v>
      </c>
      <c r="O311" s="253">
        <f t="shared" si="33"/>
        <v>47.391288928294365</v>
      </c>
      <c r="P311" s="283" t="s">
        <v>918</v>
      </c>
      <c r="Q311" s="283">
        <f t="shared" si="34"/>
        <v>55.921720935387349</v>
      </c>
      <c r="R311" s="283">
        <f t="shared" si="35"/>
        <v>59.713024049650897</v>
      </c>
      <c r="S311" s="33"/>
      <c r="T311" s="33"/>
    </row>
    <row r="312" spans="2:20" ht="25.5" customHeight="1" x14ac:dyDescent="0.25">
      <c r="B312" s="34">
        <v>305</v>
      </c>
      <c r="C312" s="41" t="s">
        <v>642</v>
      </c>
      <c r="D312" s="82" t="s">
        <v>643</v>
      </c>
      <c r="E312" s="41" t="s">
        <v>157</v>
      </c>
      <c r="F312" s="253">
        <v>1.79</v>
      </c>
      <c r="G312" s="253">
        <v>65.41</v>
      </c>
      <c r="H312" s="41" t="s">
        <v>924</v>
      </c>
      <c r="I312" s="88" t="s">
        <v>930</v>
      </c>
      <c r="J312" s="283">
        <v>117.0839</v>
      </c>
      <c r="K312" s="284">
        <f t="shared" ref="K312:K375" si="38">(1+L312)</f>
        <v>1</v>
      </c>
      <c r="L312" s="285">
        <v>0</v>
      </c>
      <c r="M312" s="283">
        <f t="shared" si="36"/>
        <v>117.0839</v>
      </c>
      <c r="N312" s="283" t="str">
        <f t="shared" si="37"/>
        <v>Calculated (1.79 kg/Nos. @ INR 65.41 per kg)</v>
      </c>
      <c r="O312" s="253">
        <f t="shared" si="33"/>
        <v>117.0839</v>
      </c>
      <c r="P312" s="283" t="s">
        <v>918</v>
      </c>
      <c r="Q312" s="283">
        <f t="shared" si="34"/>
        <v>138.15900199999999</v>
      </c>
      <c r="R312" s="283">
        <f t="shared" si="35"/>
        <v>147.52571399999999</v>
      </c>
      <c r="S312" s="33"/>
      <c r="T312" s="33"/>
    </row>
    <row r="313" spans="2:20" ht="25.5" customHeight="1" x14ac:dyDescent="0.25">
      <c r="B313" s="34">
        <v>306</v>
      </c>
      <c r="C313" s="41" t="s">
        <v>1312</v>
      </c>
      <c r="D313" s="82" t="s">
        <v>1313</v>
      </c>
      <c r="E313" s="41" t="s">
        <v>157</v>
      </c>
      <c r="F313" s="253">
        <v>1.79</v>
      </c>
      <c r="G313" s="253">
        <v>46.8</v>
      </c>
      <c r="H313" s="41" t="s">
        <v>924</v>
      </c>
      <c r="I313" s="88" t="s">
        <v>930</v>
      </c>
      <c r="J313" s="283">
        <v>83.771999999999991</v>
      </c>
      <c r="K313" s="284">
        <f t="shared" si="38"/>
        <v>1.0126343788097087</v>
      </c>
      <c r="L313" s="285">
        <f>$V$8</f>
        <v>1.2634378809708687E-2</v>
      </c>
      <c r="M313" s="283">
        <f t="shared" si="36"/>
        <v>84.830407181646919</v>
      </c>
      <c r="N313" s="283" t="str">
        <f t="shared" si="37"/>
        <v>Calculated (1.79 kg/Nos. @ INR 46.8 per kg)</v>
      </c>
      <c r="O313" s="253">
        <f t="shared" si="33"/>
        <v>84.830407181646919</v>
      </c>
      <c r="P313" s="283" t="s">
        <v>918</v>
      </c>
      <c r="Q313" s="283">
        <f t="shared" si="34"/>
        <v>100.09988047434337</v>
      </c>
      <c r="R313" s="283">
        <f t="shared" si="35"/>
        <v>106.88631304887512</v>
      </c>
      <c r="S313" s="33"/>
      <c r="T313" s="33"/>
    </row>
    <row r="314" spans="2:20" ht="25.5" customHeight="1" x14ac:dyDescent="0.25">
      <c r="B314" s="34">
        <v>307</v>
      </c>
      <c r="C314" s="41" t="s">
        <v>415</v>
      </c>
      <c r="D314" s="82" t="s">
        <v>1314</v>
      </c>
      <c r="E314" s="41" t="s">
        <v>157</v>
      </c>
      <c r="F314" s="253">
        <v>1.95</v>
      </c>
      <c r="G314" s="253">
        <v>65.400000000000006</v>
      </c>
      <c r="H314" s="41" t="s">
        <v>924</v>
      </c>
      <c r="I314" s="88" t="s">
        <v>930</v>
      </c>
      <c r="J314" s="283">
        <v>127.53</v>
      </c>
      <c r="K314" s="284">
        <f t="shared" si="38"/>
        <v>1</v>
      </c>
      <c r="L314" s="285">
        <v>0</v>
      </c>
      <c r="M314" s="283">
        <f t="shared" si="36"/>
        <v>127.53</v>
      </c>
      <c r="N314" s="283" t="str">
        <f t="shared" si="37"/>
        <v>Calculated (1.95 kg/Nos. @ INR 65.4 per kg)</v>
      </c>
      <c r="O314" s="253">
        <f t="shared" si="33"/>
        <v>127.53</v>
      </c>
      <c r="P314" s="283" t="s">
        <v>918</v>
      </c>
      <c r="Q314" s="283">
        <f t="shared" si="34"/>
        <v>150.4854</v>
      </c>
      <c r="R314" s="283">
        <f t="shared" si="35"/>
        <v>160.68780000000001</v>
      </c>
      <c r="S314" s="33"/>
      <c r="T314" s="33"/>
    </row>
    <row r="315" spans="2:20" ht="25.5" customHeight="1" x14ac:dyDescent="0.25">
      <c r="B315" s="34">
        <v>308</v>
      </c>
      <c r="C315" s="41" t="s">
        <v>1315</v>
      </c>
      <c r="D315" s="82" t="s">
        <v>1316</v>
      </c>
      <c r="E315" s="41" t="s">
        <v>157</v>
      </c>
      <c r="F315" s="253">
        <v>1.95</v>
      </c>
      <c r="G315" s="253">
        <v>46.8</v>
      </c>
      <c r="H315" s="41" t="s">
        <v>924</v>
      </c>
      <c r="I315" s="88" t="s">
        <v>930</v>
      </c>
      <c r="J315" s="283">
        <v>91.259999999999991</v>
      </c>
      <c r="K315" s="284">
        <f t="shared" si="38"/>
        <v>1.0126343788097087</v>
      </c>
      <c r="L315" s="285">
        <f>$V$8</f>
        <v>1.2634378809708687E-2</v>
      </c>
      <c r="M315" s="283">
        <f t="shared" si="36"/>
        <v>92.413013410174017</v>
      </c>
      <c r="N315" s="283" t="str">
        <f t="shared" si="37"/>
        <v>Calculated (1.95 kg/Nos. @ INR 46.8 per kg)</v>
      </c>
      <c r="O315" s="253">
        <f t="shared" ref="O315:O378" si="39">M315</f>
        <v>92.413013410174017</v>
      </c>
      <c r="P315" s="283" t="s">
        <v>918</v>
      </c>
      <c r="Q315" s="283">
        <f t="shared" si="34"/>
        <v>109.04735582400534</v>
      </c>
      <c r="R315" s="283">
        <f t="shared" si="35"/>
        <v>116.44039689681927</v>
      </c>
      <c r="S315" s="33"/>
      <c r="T315" s="33"/>
    </row>
    <row r="316" spans="2:20" ht="25.5" customHeight="1" x14ac:dyDescent="0.25">
      <c r="B316" s="34">
        <v>309</v>
      </c>
      <c r="C316" s="41" t="s">
        <v>1317</v>
      </c>
      <c r="D316" s="82" t="s">
        <v>1318</v>
      </c>
      <c r="E316" s="41" t="s">
        <v>157</v>
      </c>
      <c r="F316" s="253">
        <v>1</v>
      </c>
      <c r="G316" s="253">
        <v>65.400000000000006</v>
      </c>
      <c r="H316" s="41" t="s">
        <v>924</v>
      </c>
      <c r="I316" s="88" t="s">
        <v>930</v>
      </c>
      <c r="J316" s="283">
        <v>65.400000000000006</v>
      </c>
      <c r="K316" s="284">
        <f t="shared" si="38"/>
        <v>1</v>
      </c>
      <c r="L316" s="285">
        <v>0</v>
      </c>
      <c r="M316" s="283">
        <f t="shared" si="36"/>
        <v>65.400000000000006</v>
      </c>
      <c r="N316" s="283" t="str">
        <f t="shared" si="37"/>
        <v>Calculated (1 kg/Nos. @ INR 65.4 per kg)</v>
      </c>
      <c r="O316" s="253">
        <f t="shared" si="39"/>
        <v>65.400000000000006</v>
      </c>
      <c r="P316" s="283" t="s">
        <v>918</v>
      </c>
      <c r="Q316" s="283">
        <f t="shared" si="34"/>
        <v>77.171999999999997</v>
      </c>
      <c r="R316" s="283">
        <f t="shared" si="35"/>
        <v>82.404000000000011</v>
      </c>
      <c r="S316" s="33"/>
      <c r="T316" s="33"/>
    </row>
    <row r="317" spans="2:20" ht="25.5" customHeight="1" x14ac:dyDescent="0.25">
      <c r="B317" s="34">
        <v>310</v>
      </c>
      <c r="C317" s="41" t="s">
        <v>1319</v>
      </c>
      <c r="D317" s="82" t="s">
        <v>1320</v>
      </c>
      <c r="E317" s="41" t="s">
        <v>157</v>
      </c>
      <c r="F317" s="253">
        <v>1</v>
      </c>
      <c r="G317" s="253">
        <v>46.8</v>
      </c>
      <c r="H317" s="41" t="s">
        <v>924</v>
      </c>
      <c r="I317" s="88" t="s">
        <v>930</v>
      </c>
      <c r="J317" s="283">
        <v>46.8</v>
      </c>
      <c r="K317" s="284">
        <f t="shared" si="38"/>
        <v>1.0126343788097087</v>
      </c>
      <c r="L317" s="285">
        <f>$V$8</f>
        <v>1.2634378809708687E-2</v>
      </c>
      <c r="M317" s="283">
        <f t="shared" si="36"/>
        <v>47.391288928294365</v>
      </c>
      <c r="N317" s="283" t="str">
        <f t="shared" si="37"/>
        <v>Calculated (1 kg/Nos. @ INR 46.8 per kg)</v>
      </c>
      <c r="O317" s="253">
        <f t="shared" si="39"/>
        <v>47.391288928294365</v>
      </c>
      <c r="P317" s="283" t="s">
        <v>918</v>
      </c>
      <c r="Q317" s="283">
        <f t="shared" si="34"/>
        <v>55.921720935387349</v>
      </c>
      <c r="R317" s="283">
        <f t="shared" si="35"/>
        <v>59.713024049650897</v>
      </c>
      <c r="S317" s="33"/>
      <c r="T317" s="33"/>
    </row>
    <row r="318" spans="2:20" ht="25.5" customHeight="1" x14ac:dyDescent="0.25">
      <c r="B318" s="34">
        <v>311</v>
      </c>
      <c r="C318" s="41" t="s">
        <v>1321</v>
      </c>
      <c r="D318" s="82" t="s">
        <v>1322</v>
      </c>
      <c r="E318" s="41" t="s">
        <v>157</v>
      </c>
      <c r="F318" s="253">
        <v>1</v>
      </c>
      <c r="G318" s="253">
        <v>65.400000000000006</v>
      </c>
      <c r="H318" s="41" t="s">
        <v>924</v>
      </c>
      <c r="I318" s="88" t="s">
        <v>930</v>
      </c>
      <c r="J318" s="283">
        <v>65.400000000000006</v>
      </c>
      <c r="K318" s="284">
        <f t="shared" si="38"/>
        <v>1</v>
      </c>
      <c r="L318" s="285">
        <v>0</v>
      </c>
      <c r="M318" s="283">
        <f t="shared" si="36"/>
        <v>65.400000000000006</v>
      </c>
      <c r="N318" s="283" t="str">
        <f t="shared" si="37"/>
        <v>Calculated (1 kg/Nos. @ INR 65.4 per kg)</v>
      </c>
      <c r="O318" s="253">
        <f t="shared" si="39"/>
        <v>65.400000000000006</v>
      </c>
      <c r="P318" s="283" t="s">
        <v>918</v>
      </c>
      <c r="Q318" s="283">
        <f t="shared" si="34"/>
        <v>77.171999999999997</v>
      </c>
      <c r="R318" s="283">
        <f t="shared" si="35"/>
        <v>82.404000000000011</v>
      </c>
      <c r="S318" s="33"/>
      <c r="T318" s="33"/>
    </row>
    <row r="319" spans="2:20" ht="25.5" customHeight="1" x14ac:dyDescent="0.25">
      <c r="B319" s="34">
        <v>312</v>
      </c>
      <c r="C319" s="41" t="s">
        <v>1323</v>
      </c>
      <c r="D319" s="82" t="s">
        <v>1322</v>
      </c>
      <c r="E319" s="41" t="s">
        <v>157</v>
      </c>
      <c r="F319" s="253">
        <v>1</v>
      </c>
      <c r="G319" s="253">
        <v>46.8</v>
      </c>
      <c r="H319" s="41" t="s">
        <v>924</v>
      </c>
      <c r="I319" s="88" t="s">
        <v>930</v>
      </c>
      <c r="J319" s="283">
        <v>46.8</v>
      </c>
      <c r="K319" s="284">
        <f t="shared" si="38"/>
        <v>1.0126343788097087</v>
      </c>
      <c r="L319" s="285">
        <f>$V$8</f>
        <v>1.2634378809708687E-2</v>
      </c>
      <c r="M319" s="283">
        <f t="shared" si="36"/>
        <v>47.391288928294365</v>
      </c>
      <c r="N319" s="283" t="str">
        <f t="shared" si="37"/>
        <v>Calculated (1 kg/Nos. @ INR 46.8 per kg)</v>
      </c>
      <c r="O319" s="253">
        <f t="shared" si="39"/>
        <v>47.391288928294365</v>
      </c>
      <c r="P319" s="283" t="s">
        <v>918</v>
      </c>
      <c r="Q319" s="283">
        <f t="shared" si="34"/>
        <v>55.921720935387349</v>
      </c>
      <c r="R319" s="283">
        <f t="shared" si="35"/>
        <v>59.713024049650897</v>
      </c>
      <c r="S319" s="33"/>
      <c r="T319" s="33"/>
    </row>
    <row r="320" spans="2:20" ht="25.5" customHeight="1" x14ac:dyDescent="0.25">
      <c r="B320" s="34">
        <v>313</v>
      </c>
      <c r="C320" s="83" t="s">
        <v>400</v>
      </c>
      <c r="D320" s="82" t="s">
        <v>401</v>
      </c>
      <c r="E320" s="41" t="s">
        <v>158</v>
      </c>
      <c r="F320" s="253">
        <v>0.8</v>
      </c>
      <c r="G320" s="253">
        <v>65.400000000000006</v>
      </c>
      <c r="H320" s="41" t="s">
        <v>915</v>
      </c>
      <c r="I320" s="88" t="s">
        <v>930</v>
      </c>
      <c r="J320" s="283">
        <v>52.328000000000003</v>
      </c>
      <c r="K320" s="284">
        <f t="shared" si="38"/>
        <v>1</v>
      </c>
      <c r="L320" s="285">
        <v>0</v>
      </c>
      <c r="M320" s="283">
        <f t="shared" si="36"/>
        <v>52.328000000000003</v>
      </c>
      <c r="N320" s="283" t="s">
        <v>1324</v>
      </c>
      <c r="O320" s="253">
        <f t="shared" si="39"/>
        <v>52.328000000000003</v>
      </c>
      <c r="P320" s="283" t="s">
        <v>918</v>
      </c>
      <c r="Q320" s="283">
        <f t="shared" si="34"/>
        <v>61.747039999999998</v>
      </c>
      <c r="R320" s="283">
        <f t="shared" si="35"/>
        <v>65.933280000000011</v>
      </c>
      <c r="S320" s="33"/>
      <c r="T320" s="33"/>
    </row>
    <row r="321" spans="1:20" ht="25.5" customHeight="1" x14ac:dyDescent="0.25">
      <c r="B321" s="34">
        <v>314</v>
      </c>
      <c r="C321" s="41" t="s">
        <v>1325</v>
      </c>
      <c r="D321" s="82" t="s">
        <v>1326</v>
      </c>
      <c r="E321" s="41" t="s">
        <v>158</v>
      </c>
      <c r="F321" s="253">
        <v>0.8</v>
      </c>
      <c r="G321" s="253">
        <v>52.66</v>
      </c>
      <c r="H321" s="41" t="s">
        <v>924</v>
      </c>
      <c r="I321" s="88" t="s">
        <v>930</v>
      </c>
      <c r="J321" s="283">
        <v>42.128</v>
      </c>
      <c r="K321" s="284">
        <f t="shared" si="38"/>
        <v>1.0126343788097087</v>
      </c>
      <c r="L321" s="285">
        <f>$V$8</f>
        <v>1.2634378809708687E-2</v>
      </c>
      <c r="M321" s="283">
        <f t="shared" si="36"/>
        <v>42.660261110495412</v>
      </c>
      <c r="N321" s="283" t="str">
        <f t="shared" ref="N321:N344" si="40">"Calculated ("&amp;F321&amp;" kg/"&amp;E321&amp;" @ INR "&amp;G321&amp;" per kg)"</f>
        <v>Calculated (0.8 kg/Set @ INR 52.66 per kg)</v>
      </c>
      <c r="O321" s="253">
        <f t="shared" si="39"/>
        <v>42.660261110495412</v>
      </c>
      <c r="P321" s="283" t="s">
        <v>918</v>
      </c>
      <c r="Q321" s="283">
        <f t="shared" si="34"/>
        <v>50.339108110384586</v>
      </c>
      <c r="R321" s="283">
        <f t="shared" si="35"/>
        <v>53.751928999224219</v>
      </c>
      <c r="S321" s="33"/>
      <c r="T321" s="33"/>
    </row>
    <row r="322" spans="1:20" s="262" customFormat="1" ht="25.5" customHeight="1" x14ac:dyDescent="0.25">
      <c r="A322"/>
      <c r="B322" s="34">
        <v>315</v>
      </c>
      <c r="C322" s="41" t="s">
        <v>1327</v>
      </c>
      <c r="D322" s="82" t="s">
        <v>1328</v>
      </c>
      <c r="E322" s="41" t="s">
        <v>158</v>
      </c>
      <c r="F322" s="253">
        <v>1.1000000000000001</v>
      </c>
      <c r="G322" s="253">
        <v>65.400000000000006</v>
      </c>
      <c r="H322" s="41" t="s">
        <v>924</v>
      </c>
      <c r="I322" s="88" t="s">
        <v>930</v>
      </c>
      <c r="J322" s="283">
        <v>71.940000000000012</v>
      </c>
      <c r="K322" s="284">
        <f t="shared" si="38"/>
        <v>1</v>
      </c>
      <c r="L322" s="285">
        <v>0</v>
      </c>
      <c r="M322" s="283">
        <f t="shared" si="36"/>
        <v>71.940000000000012</v>
      </c>
      <c r="N322" s="283" t="str">
        <f t="shared" si="40"/>
        <v>Calculated (1.1 kg/Set @ INR 65.4 per kg)</v>
      </c>
      <c r="O322" s="253">
        <f t="shared" si="39"/>
        <v>71.940000000000012</v>
      </c>
      <c r="P322" s="283" t="s">
        <v>918</v>
      </c>
      <c r="Q322" s="283">
        <f t="shared" si="34"/>
        <v>84.889200000000017</v>
      </c>
      <c r="R322" s="283">
        <f t="shared" si="35"/>
        <v>90.644400000000019</v>
      </c>
    </row>
    <row r="323" spans="1:20" s="262" customFormat="1" ht="25.5" customHeight="1" x14ac:dyDescent="0.25">
      <c r="A323"/>
      <c r="B323" s="34">
        <v>316</v>
      </c>
      <c r="C323" s="41" t="s">
        <v>1329</v>
      </c>
      <c r="D323" s="82" t="s">
        <v>1330</v>
      </c>
      <c r="E323" s="41" t="s">
        <v>158</v>
      </c>
      <c r="F323" s="253">
        <v>1.1000000000000001</v>
      </c>
      <c r="G323" s="253">
        <v>46.8</v>
      </c>
      <c r="H323" s="41" t="s">
        <v>924</v>
      </c>
      <c r="I323" s="88" t="s">
        <v>930</v>
      </c>
      <c r="J323" s="283">
        <v>51.480000000000004</v>
      </c>
      <c r="K323" s="284">
        <f t="shared" si="38"/>
        <v>1.0126343788097087</v>
      </c>
      <c r="L323" s="285">
        <f>$V$8</f>
        <v>1.2634378809708687E-2</v>
      </c>
      <c r="M323" s="283">
        <f t="shared" si="36"/>
        <v>52.130417821123807</v>
      </c>
      <c r="N323" s="283" t="str">
        <f t="shared" si="40"/>
        <v>Calculated (1.1 kg/Set @ INR 46.8 per kg)</v>
      </c>
      <c r="O323" s="253">
        <f t="shared" si="39"/>
        <v>52.130417821123807</v>
      </c>
      <c r="P323" s="283" t="s">
        <v>918</v>
      </c>
      <c r="Q323" s="283">
        <f t="shared" si="34"/>
        <v>61.513893028926091</v>
      </c>
      <c r="R323" s="283">
        <f t="shared" si="35"/>
        <v>65.684326454615999</v>
      </c>
    </row>
    <row r="324" spans="1:20" s="262" customFormat="1" ht="25.5" customHeight="1" x14ac:dyDescent="0.25">
      <c r="A324"/>
      <c r="B324" s="34">
        <v>317</v>
      </c>
      <c r="C324" s="41" t="s">
        <v>1331</v>
      </c>
      <c r="D324" s="82" t="s">
        <v>1332</v>
      </c>
      <c r="E324" s="41" t="s">
        <v>158</v>
      </c>
      <c r="F324" s="253">
        <v>0.7</v>
      </c>
      <c r="G324" s="253">
        <v>65.400000000000006</v>
      </c>
      <c r="H324" s="41" t="s">
        <v>924</v>
      </c>
      <c r="I324" s="88" t="s">
        <v>930</v>
      </c>
      <c r="J324" s="283">
        <v>45.78</v>
      </c>
      <c r="K324" s="284">
        <f t="shared" si="38"/>
        <v>1</v>
      </c>
      <c r="L324" s="285">
        <v>0</v>
      </c>
      <c r="M324" s="283">
        <f t="shared" si="36"/>
        <v>45.78</v>
      </c>
      <c r="N324" s="283" t="str">
        <f t="shared" si="40"/>
        <v>Calculated (0.7 kg/Set @ INR 65.4 per kg)</v>
      </c>
      <c r="O324" s="253">
        <f t="shared" si="39"/>
        <v>45.78</v>
      </c>
      <c r="P324" s="283" t="s">
        <v>918</v>
      </c>
      <c r="Q324" s="283">
        <f t="shared" si="34"/>
        <v>54.020399999999995</v>
      </c>
      <c r="R324" s="283">
        <f t="shared" si="35"/>
        <v>57.6828</v>
      </c>
    </row>
    <row r="325" spans="1:20" s="262" customFormat="1" ht="25.5" customHeight="1" x14ac:dyDescent="0.25">
      <c r="A325"/>
      <c r="B325" s="34">
        <v>318</v>
      </c>
      <c r="C325" s="41" t="s">
        <v>1333</v>
      </c>
      <c r="D325" s="82" t="s">
        <v>1334</v>
      </c>
      <c r="E325" s="41" t="s">
        <v>158</v>
      </c>
      <c r="F325" s="253">
        <v>0.7</v>
      </c>
      <c r="G325" s="253">
        <v>46.8</v>
      </c>
      <c r="H325" s="41" t="s">
        <v>924</v>
      </c>
      <c r="I325" s="88" t="s">
        <v>930</v>
      </c>
      <c r="J325" s="283">
        <v>32.76</v>
      </c>
      <c r="K325" s="284">
        <f t="shared" si="38"/>
        <v>1.0126343788097087</v>
      </c>
      <c r="L325" s="285">
        <f>$V$8</f>
        <v>1.2634378809708687E-2</v>
      </c>
      <c r="M325" s="283">
        <f t="shared" si="36"/>
        <v>33.173902249806055</v>
      </c>
      <c r="N325" s="283" t="str">
        <f t="shared" si="40"/>
        <v>Calculated (0.7 kg/Set @ INR 46.8 per kg)</v>
      </c>
      <c r="O325" s="253">
        <f t="shared" si="39"/>
        <v>33.173902249806055</v>
      </c>
      <c r="P325" s="283" t="s">
        <v>918</v>
      </c>
      <c r="Q325" s="283">
        <f t="shared" si="34"/>
        <v>39.145204654771142</v>
      </c>
      <c r="R325" s="283">
        <f t="shared" si="35"/>
        <v>41.79911683475563</v>
      </c>
    </row>
    <row r="326" spans="1:20" s="262" customFormat="1" ht="25.5" customHeight="1" x14ac:dyDescent="0.25">
      <c r="A326"/>
      <c r="B326" s="34">
        <v>319</v>
      </c>
      <c r="C326" s="41" t="s">
        <v>1335</v>
      </c>
      <c r="D326" s="82" t="s">
        <v>1336</v>
      </c>
      <c r="E326" s="41" t="s">
        <v>158</v>
      </c>
      <c r="F326" s="253">
        <v>0.7</v>
      </c>
      <c r="G326" s="253">
        <v>65.400000000000006</v>
      </c>
      <c r="H326" s="41" t="s">
        <v>924</v>
      </c>
      <c r="I326" s="88" t="s">
        <v>930</v>
      </c>
      <c r="J326" s="283">
        <v>45.78</v>
      </c>
      <c r="K326" s="284">
        <f t="shared" si="38"/>
        <v>1</v>
      </c>
      <c r="L326" s="285">
        <v>0</v>
      </c>
      <c r="M326" s="283">
        <f t="shared" si="36"/>
        <v>45.78</v>
      </c>
      <c r="N326" s="283" t="str">
        <f t="shared" si="40"/>
        <v>Calculated (0.7 kg/Set @ INR 65.4 per kg)</v>
      </c>
      <c r="O326" s="253">
        <f t="shared" si="39"/>
        <v>45.78</v>
      </c>
      <c r="P326" s="283" t="s">
        <v>918</v>
      </c>
      <c r="Q326" s="283">
        <f t="shared" si="34"/>
        <v>54.020399999999995</v>
      </c>
      <c r="R326" s="283">
        <f t="shared" si="35"/>
        <v>57.6828</v>
      </c>
    </row>
    <row r="327" spans="1:20" s="262" customFormat="1" ht="25.5" customHeight="1" x14ac:dyDescent="0.25">
      <c r="A327"/>
      <c r="B327" s="34">
        <v>320</v>
      </c>
      <c r="C327" s="41" t="s">
        <v>1337</v>
      </c>
      <c r="D327" s="82" t="s">
        <v>1338</v>
      </c>
      <c r="E327" s="41" t="s">
        <v>158</v>
      </c>
      <c r="F327" s="253">
        <v>0.7</v>
      </c>
      <c r="G327" s="253">
        <v>46.8</v>
      </c>
      <c r="H327" s="41" t="s">
        <v>924</v>
      </c>
      <c r="I327" s="88" t="s">
        <v>930</v>
      </c>
      <c r="J327" s="283">
        <v>32.76</v>
      </c>
      <c r="K327" s="284">
        <f t="shared" si="38"/>
        <v>1.0126343788097087</v>
      </c>
      <c r="L327" s="285">
        <f>$V$8</f>
        <v>1.2634378809708687E-2</v>
      </c>
      <c r="M327" s="283">
        <f t="shared" si="36"/>
        <v>33.173902249806055</v>
      </c>
      <c r="N327" s="283" t="str">
        <f t="shared" si="40"/>
        <v>Calculated (0.7 kg/Set @ INR 46.8 per kg)</v>
      </c>
      <c r="O327" s="253">
        <f t="shared" si="39"/>
        <v>33.173902249806055</v>
      </c>
      <c r="P327" s="283" t="s">
        <v>918</v>
      </c>
      <c r="Q327" s="283">
        <f t="shared" si="34"/>
        <v>39.145204654771142</v>
      </c>
      <c r="R327" s="283">
        <f t="shared" si="35"/>
        <v>41.79911683475563</v>
      </c>
    </row>
    <row r="328" spans="1:20" ht="25.5" customHeight="1" x14ac:dyDescent="0.25">
      <c r="B328" s="34">
        <v>321</v>
      </c>
      <c r="C328" s="41" t="s">
        <v>1339</v>
      </c>
      <c r="D328" s="85" t="s">
        <v>1340</v>
      </c>
      <c r="E328" s="88" t="s">
        <v>158</v>
      </c>
      <c r="F328" s="253">
        <v>2.4</v>
      </c>
      <c r="G328" s="253">
        <v>65.400000000000006</v>
      </c>
      <c r="H328" s="41" t="s">
        <v>924</v>
      </c>
      <c r="I328" s="88" t="s">
        <v>930</v>
      </c>
      <c r="J328" s="283">
        <v>156.96</v>
      </c>
      <c r="K328" s="284">
        <f t="shared" si="38"/>
        <v>1</v>
      </c>
      <c r="L328" s="285">
        <v>0</v>
      </c>
      <c r="M328" s="283">
        <f t="shared" si="36"/>
        <v>156.96</v>
      </c>
      <c r="N328" s="283" t="str">
        <f t="shared" si="40"/>
        <v>Calculated (2.4 kg/Set @ INR 65.4 per kg)</v>
      </c>
      <c r="O328" s="253">
        <f t="shared" si="39"/>
        <v>156.96</v>
      </c>
      <c r="P328" s="283" t="s">
        <v>918</v>
      </c>
      <c r="Q328" s="283">
        <f t="shared" si="34"/>
        <v>185.21279999999999</v>
      </c>
      <c r="R328" s="283">
        <f t="shared" si="35"/>
        <v>197.76960000000003</v>
      </c>
      <c r="S328" s="33"/>
      <c r="T328" s="33"/>
    </row>
    <row r="329" spans="1:20" ht="25.5" customHeight="1" x14ac:dyDescent="0.25">
      <c r="B329" s="34">
        <v>322</v>
      </c>
      <c r="C329" s="41" t="s">
        <v>1341</v>
      </c>
      <c r="D329" s="85" t="s">
        <v>1342</v>
      </c>
      <c r="E329" s="88" t="s">
        <v>158</v>
      </c>
      <c r="F329" s="253">
        <v>2.4</v>
      </c>
      <c r="G329" s="253">
        <v>46.8</v>
      </c>
      <c r="H329" s="41" t="s">
        <v>924</v>
      </c>
      <c r="I329" s="88" t="s">
        <v>930</v>
      </c>
      <c r="J329" s="283">
        <v>112.32</v>
      </c>
      <c r="K329" s="284">
        <f t="shared" si="38"/>
        <v>1.0126343788097087</v>
      </c>
      <c r="L329" s="285">
        <f>$V$8</f>
        <v>1.2634378809708687E-2</v>
      </c>
      <c r="M329" s="283">
        <f t="shared" si="36"/>
        <v>113.73909342790648</v>
      </c>
      <c r="N329" s="283" t="str">
        <f t="shared" si="40"/>
        <v>Calculated (2.4 kg/Set @ INR 46.8 per kg)</v>
      </c>
      <c r="O329" s="253">
        <f t="shared" si="39"/>
        <v>113.73909342790648</v>
      </c>
      <c r="P329" s="283" t="s">
        <v>918</v>
      </c>
      <c r="Q329" s="283">
        <f t="shared" si="34"/>
        <v>134.21213024492965</v>
      </c>
      <c r="R329" s="283">
        <f t="shared" si="35"/>
        <v>143.31125771916217</v>
      </c>
      <c r="S329" s="33"/>
      <c r="T329" s="33"/>
    </row>
    <row r="330" spans="1:20" ht="25.5" customHeight="1" x14ac:dyDescent="0.25">
      <c r="B330" s="34">
        <v>323</v>
      </c>
      <c r="C330" s="41" t="s">
        <v>452</v>
      </c>
      <c r="D330" s="85" t="s">
        <v>1343</v>
      </c>
      <c r="E330" s="88" t="s">
        <v>158</v>
      </c>
      <c r="F330" s="253">
        <v>2.79</v>
      </c>
      <c r="G330" s="253">
        <v>65.400000000000006</v>
      </c>
      <c r="H330" s="41" t="s">
        <v>924</v>
      </c>
      <c r="I330" s="88" t="s">
        <v>930</v>
      </c>
      <c r="J330" s="283">
        <v>182.46600000000001</v>
      </c>
      <c r="K330" s="284">
        <f t="shared" si="38"/>
        <v>1</v>
      </c>
      <c r="L330" s="285">
        <v>0</v>
      </c>
      <c r="M330" s="283">
        <f t="shared" si="36"/>
        <v>182.46600000000001</v>
      </c>
      <c r="N330" s="283" t="str">
        <f t="shared" si="40"/>
        <v>Calculated (2.79 kg/Set @ INR 65.4 per kg)</v>
      </c>
      <c r="O330" s="253">
        <f t="shared" si="39"/>
        <v>182.46600000000001</v>
      </c>
      <c r="P330" s="283" t="s">
        <v>918</v>
      </c>
      <c r="Q330" s="283">
        <f t="shared" si="34"/>
        <v>215.30987999999999</v>
      </c>
      <c r="R330" s="283">
        <f t="shared" si="35"/>
        <v>229.90716</v>
      </c>
      <c r="S330" s="33"/>
      <c r="T330" s="33"/>
    </row>
    <row r="331" spans="1:20" ht="25.5" customHeight="1" x14ac:dyDescent="0.25">
      <c r="B331" s="34">
        <v>324</v>
      </c>
      <c r="C331" s="41" t="s">
        <v>1344</v>
      </c>
      <c r="D331" s="85" t="s">
        <v>1345</v>
      </c>
      <c r="E331" s="88" t="s">
        <v>158</v>
      </c>
      <c r="F331" s="253">
        <v>2.79</v>
      </c>
      <c r="G331" s="253">
        <v>46.8</v>
      </c>
      <c r="H331" s="41" t="s">
        <v>924</v>
      </c>
      <c r="I331" s="88" t="s">
        <v>930</v>
      </c>
      <c r="J331" s="283">
        <v>130.572</v>
      </c>
      <c r="K331" s="284">
        <f t="shared" si="38"/>
        <v>1.0126343788097087</v>
      </c>
      <c r="L331" s="285">
        <f>$V$8</f>
        <v>1.2634378809708687E-2</v>
      </c>
      <c r="M331" s="283">
        <f t="shared" si="36"/>
        <v>132.22169610994129</v>
      </c>
      <c r="N331" s="283" t="str">
        <f t="shared" si="40"/>
        <v>Calculated (2.79 kg/Set @ INR 46.8 per kg)</v>
      </c>
      <c r="O331" s="253">
        <f t="shared" si="39"/>
        <v>132.22169610994129</v>
      </c>
      <c r="P331" s="283" t="s">
        <v>918</v>
      </c>
      <c r="Q331" s="283">
        <f t="shared" si="34"/>
        <v>156.02160140973072</v>
      </c>
      <c r="R331" s="283">
        <f t="shared" si="35"/>
        <v>166.59933709852604</v>
      </c>
      <c r="S331" s="33"/>
      <c r="T331" s="33"/>
    </row>
    <row r="332" spans="1:20" ht="25.5" customHeight="1" x14ac:dyDescent="0.25">
      <c r="B332" s="34">
        <v>325</v>
      </c>
      <c r="C332" s="41" t="s">
        <v>1346</v>
      </c>
      <c r="D332" s="85" t="s">
        <v>1347</v>
      </c>
      <c r="E332" s="88" t="s">
        <v>158</v>
      </c>
      <c r="F332" s="253">
        <v>2.16</v>
      </c>
      <c r="G332" s="253">
        <v>65.41</v>
      </c>
      <c r="H332" s="41" t="s">
        <v>924</v>
      </c>
      <c r="I332" s="88" t="s">
        <v>930</v>
      </c>
      <c r="J332" s="283">
        <v>141.28559999999999</v>
      </c>
      <c r="K332" s="284">
        <f t="shared" si="38"/>
        <v>1</v>
      </c>
      <c r="L332" s="285">
        <v>0</v>
      </c>
      <c r="M332" s="283">
        <f t="shared" si="36"/>
        <v>141.28559999999999</v>
      </c>
      <c r="N332" s="283" t="str">
        <f t="shared" si="40"/>
        <v>Calculated (2.16 kg/Set @ INR 65.41 per kg)</v>
      </c>
      <c r="O332" s="253">
        <f t="shared" si="39"/>
        <v>141.28559999999999</v>
      </c>
      <c r="P332" s="283" t="s">
        <v>918</v>
      </c>
      <c r="Q332" s="283">
        <f t="shared" si="34"/>
        <v>166.71700799999996</v>
      </c>
      <c r="R332" s="283">
        <f t="shared" si="35"/>
        <v>178.01985599999998</v>
      </c>
      <c r="S332" s="33"/>
      <c r="T332" s="33"/>
    </row>
    <row r="333" spans="1:20" ht="25.5" customHeight="1" x14ac:dyDescent="0.25">
      <c r="B333" s="34">
        <v>326</v>
      </c>
      <c r="C333" s="41" t="s">
        <v>1348</v>
      </c>
      <c r="D333" s="85" t="s">
        <v>1349</v>
      </c>
      <c r="E333" s="88" t="s">
        <v>158</v>
      </c>
      <c r="F333" s="253">
        <v>2.16</v>
      </c>
      <c r="G333" s="253">
        <v>46.8</v>
      </c>
      <c r="H333" s="41" t="s">
        <v>924</v>
      </c>
      <c r="I333" s="88" t="s">
        <v>930</v>
      </c>
      <c r="J333" s="283">
        <v>101.08799999999999</v>
      </c>
      <c r="K333" s="284">
        <f t="shared" si="38"/>
        <v>1.0126343788097087</v>
      </c>
      <c r="L333" s="285">
        <f>$V$8</f>
        <v>1.2634378809708687E-2</v>
      </c>
      <c r="M333" s="283">
        <f t="shared" si="36"/>
        <v>102.36518408511583</v>
      </c>
      <c r="N333" s="283" t="str">
        <f t="shared" si="40"/>
        <v>Calculated (2.16 kg/Set @ INR 46.8 per kg)</v>
      </c>
      <c r="O333" s="253">
        <f t="shared" si="39"/>
        <v>102.36518408511583</v>
      </c>
      <c r="P333" s="283" t="s">
        <v>918</v>
      </c>
      <c r="Q333" s="283">
        <f t="shared" si="34"/>
        <v>120.79091722043667</v>
      </c>
      <c r="R333" s="283">
        <f t="shared" si="35"/>
        <v>128.98013194724595</v>
      </c>
      <c r="S333" s="33"/>
      <c r="T333" s="33"/>
    </row>
    <row r="334" spans="1:20" ht="25.5" customHeight="1" x14ac:dyDescent="0.25">
      <c r="B334" s="34">
        <v>327</v>
      </c>
      <c r="C334" s="41" t="s">
        <v>1350</v>
      </c>
      <c r="D334" s="85" t="s">
        <v>1351</v>
      </c>
      <c r="E334" s="88" t="s">
        <v>158</v>
      </c>
      <c r="F334" s="253">
        <v>2.16</v>
      </c>
      <c r="G334" s="253">
        <v>65.400000000000006</v>
      </c>
      <c r="H334" s="41" t="s">
        <v>924</v>
      </c>
      <c r="I334" s="88" t="s">
        <v>930</v>
      </c>
      <c r="J334" s="283">
        <v>141.26400000000001</v>
      </c>
      <c r="K334" s="284">
        <f t="shared" si="38"/>
        <v>1</v>
      </c>
      <c r="L334" s="285">
        <v>0</v>
      </c>
      <c r="M334" s="283">
        <f t="shared" si="36"/>
        <v>141.26400000000001</v>
      </c>
      <c r="N334" s="283" t="str">
        <f t="shared" si="40"/>
        <v>Calculated (2.16 kg/Set @ INR 65.4 per kg)</v>
      </c>
      <c r="O334" s="253">
        <f t="shared" si="39"/>
        <v>141.26400000000001</v>
      </c>
      <c r="P334" s="283" t="s">
        <v>918</v>
      </c>
      <c r="Q334" s="283">
        <f t="shared" si="34"/>
        <v>166.69152</v>
      </c>
      <c r="R334" s="283">
        <f t="shared" si="35"/>
        <v>177.99264000000002</v>
      </c>
      <c r="S334" s="33"/>
      <c r="T334" s="33"/>
    </row>
    <row r="335" spans="1:20" ht="25.5" customHeight="1" x14ac:dyDescent="0.25">
      <c r="B335" s="34">
        <v>328</v>
      </c>
      <c r="C335" s="41" t="s">
        <v>1352</v>
      </c>
      <c r="D335" s="85" t="s">
        <v>1353</v>
      </c>
      <c r="E335" s="88" t="s">
        <v>158</v>
      </c>
      <c r="F335" s="253">
        <v>2.16</v>
      </c>
      <c r="G335" s="253">
        <v>46.8</v>
      </c>
      <c r="H335" s="41" t="s">
        <v>924</v>
      </c>
      <c r="I335" s="88" t="s">
        <v>930</v>
      </c>
      <c r="J335" s="283">
        <v>101.08799999999999</v>
      </c>
      <c r="K335" s="284">
        <f t="shared" si="38"/>
        <v>1.0126343788097087</v>
      </c>
      <c r="L335" s="285">
        <f>$V$8</f>
        <v>1.2634378809708687E-2</v>
      </c>
      <c r="M335" s="283">
        <f t="shared" si="36"/>
        <v>102.36518408511583</v>
      </c>
      <c r="N335" s="283" t="str">
        <f t="shared" si="40"/>
        <v>Calculated (2.16 kg/Set @ INR 46.8 per kg)</v>
      </c>
      <c r="O335" s="253">
        <f t="shared" si="39"/>
        <v>102.36518408511583</v>
      </c>
      <c r="P335" s="283" t="s">
        <v>918</v>
      </c>
      <c r="Q335" s="283">
        <f t="shared" si="34"/>
        <v>120.79091722043667</v>
      </c>
      <c r="R335" s="283">
        <f t="shared" si="35"/>
        <v>128.98013194724595</v>
      </c>
      <c r="S335" s="33"/>
      <c r="T335" s="33"/>
    </row>
    <row r="336" spans="1:20" ht="25.5" customHeight="1" x14ac:dyDescent="0.25">
      <c r="B336" s="34">
        <v>329</v>
      </c>
      <c r="C336" s="41" t="s">
        <v>1354</v>
      </c>
      <c r="D336" s="85" t="s">
        <v>1355</v>
      </c>
      <c r="E336" s="88" t="s">
        <v>158</v>
      </c>
      <c r="F336" s="253">
        <v>1.85</v>
      </c>
      <c r="G336" s="253">
        <v>65.400000000000006</v>
      </c>
      <c r="H336" s="41" t="s">
        <v>924</v>
      </c>
      <c r="I336" s="88" t="s">
        <v>930</v>
      </c>
      <c r="J336" s="283">
        <v>120.99000000000002</v>
      </c>
      <c r="K336" s="284">
        <f t="shared" si="38"/>
        <v>1</v>
      </c>
      <c r="L336" s="285">
        <v>0</v>
      </c>
      <c r="M336" s="283">
        <f t="shared" si="36"/>
        <v>120.99000000000002</v>
      </c>
      <c r="N336" s="283" t="str">
        <f t="shared" si="40"/>
        <v>Calculated (1.85 kg/Set @ INR 65.4 per kg)</v>
      </c>
      <c r="O336" s="253">
        <f t="shared" si="39"/>
        <v>120.99000000000002</v>
      </c>
      <c r="P336" s="283" t="s">
        <v>918</v>
      </c>
      <c r="Q336" s="283">
        <f t="shared" si="34"/>
        <v>142.76820000000001</v>
      </c>
      <c r="R336" s="283">
        <f t="shared" si="35"/>
        <v>152.44740000000004</v>
      </c>
      <c r="S336" s="33"/>
      <c r="T336" s="33"/>
    </row>
    <row r="337" spans="2:20" ht="25.5" customHeight="1" x14ac:dyDescent="0.25">
      <c r="B337" s="34">
        <v>330</v>
      </c>
      <c r="C337" s="41" t="s">
        <v>1356</v>
      </c>
      <c r="D337" s="85" t="s">
        <v>1357</v>
      </c>
      <c r="E337" s="88" t="s">
        <v>158</v>
      </c>
      <c r="F337" s="253">
        <v>1.85</v>
      </c>
      <c r="G337" s="253">
        <v>46.8</v>
      </c>
      <c r="H337" s="41" t="s">
        <v>924</v>
      </c>
      <c r="I337" s="88" t="s">
        <v>930</v>
      </c>
      <c r="J337" s="283">
        <v>86.58</v>
      </c>
      <c r="K337" s="284">
        <f t="shared" si="38"/>
        <v>1.0126343788097087</v>
      </c>
      <c r="L337" s="285">
        <f>$V$8</f>
        <v>1.2634378809708687E-2</v>
      </c>
      <c r="M337" s="283">
        <f t="shared" si="36"/>
        <v>87.673884517344575</v>
      </c>
      <c r="N337" s="283" t="str">
        <f t="shared" si="40"/>
        <v>Calculated (1.85 kg/Set @ INR 46.8 per kg)</v>
      </c>
      <c r="O337" s="253">
        <f t="shared" si="39"/>
        <v>87.673884517344575</v>
      </c>
      <c r="P337" s="283" t="s">
        <v>918</v>
      </c>
      <c r="Q337" s="283">
        <f t="shared" si="34"/>
        <v>103.45518373046659</v>
      </c>
      <c r="R337" s="283">
        <f t="shared" si="35"/>
        <v>110.46909449185416</v>
      </c>
      <c r="S337" s="33"/>
      <c r="T337" s="33"/>
    </row>
    <row r="338" spans="2:20" ht="25.5" customHeight="1" x14ac:dyDescent="0.25">
      <c r="B338" s="34">
        <v>331</v>
      </c>
      <c r="C338" s="41" t="s">
        <v>453</v>
      </c>
      <c r="D338" s="85" t="s">
        <v>1358</v>
      </c>
      <c r="E338" s="88" t="s">
        <v>158</v>
      </c>
      <c r="F338" s="253">
        <v>1.95</v>
      </c>
      <c r="G338" s="253">
        <v>65.400000000000006</v>
      </c>
      <c r="H338" s="41" t="s">
        <v>924</v>
      </c>
      <c r="I338" s="88" t="s">
        <v>930</v>
      </c>
      <c r="J338" s="283">
        <v>127.53</v>
      </c>
      <c r="K338" s="284">
        <f t="shared" si="38"/>
        <v>1</v>
      </c>
      <c r="L338" s="285">
        <v>0</v>
      </c>
      <c r="M338" s="283">
        <f t="shared" si="36"/>
        <v>127.53</v>
      </c>
      <c r="N338" s="283" t="str">
        <f t="shared" si="40"/>
        <v>Calculated (1.95 kg/Set @ INR 65.4 per kg)</v>
      </c>
      <c r="O338" s="253">
        <f t="shared" si="39"/>
        <v>127.53</v>
      </c>
      <c r="P338" s="283" t="s">
        <v>918</v>
      </c>
      <c r="Q338" s="283">
        <f t="shared" si="34"/>
        <v>150.4854</v>
      </c>
      <c r="R338" s="283">
        <f t="shared" si="35"/>
        <v>160.68780000000001</v>
      </c>
      <c r="S338" s="33"/>
      <c r="T338" s="33"/>
    </row>
    <row r="339" spans="2:20" ht="25.5" customHeight="1" x14ac:dyDescent="0.25">
      <c r="B339" s="34">
        <v>332</v>
      </c>
      <c r="C339" s="41" t="s">
        <v>1359</v>
      </c>
      <c r="D339" s="85" t="s">
        <v>1360</v>
      </c>
      <c r="E339" s="88" t="s">
        <v>158</v>
      </c>
      <c r="F339" s="253">
        <v>1.95</v>
      </c>
      <c r="G339" s="253">
        <v>46.8</v>
      </c>
      <c r="H339" s="41" t="s">
        <v>924</v>
      </c>
      <c r="I339" s="88" t="s">
        <v>930</v>
      </c>
      <c r="J339" s="283">
        <v>91.259999999999991</v>
      </c>
      <c r="K339" s="284">
        <f t="shared" si="38"/>
        <v>1.0126343788097087</v>
      </c>
      <c r="L339" s="285">
        <f>$V$8</f>
        <v>1.2634378809708687E-2</v>
      </c>
      <c r="M339" s="283">
        <f t="shared" si="36"/>
        <v>92.413013410174017</v>
      </c>
      <c r="N339" s="283" t="str">
        <f t="shared" si="40"/>
        <v>Calculated (1.95 kg/Set @ INR 46.8 per kg)</v>
      </c>
      <c r="O339" s="253">
        <f t="shared" si="39"/>
        <v>92.413013410174017</v>
      </c>
      <c r="P339" s="283" t="s">
        <v>918</v>
      </c>
      <c r="Q339" s="283">
        <f t="shared" si="34"/>
        <v>109.04735582400534</v>
      </c>
      <c r="R339" s="283">
        <f t="shared" si="35"/>
        <v>116.44039689681927</v>
      </c>
      <c r="S339" s="33"/>
      <c r="T339" s="33"/>
    </row>
    <row r="340" spans="2:20" ht="25.5" customHeight="1" x14ac:dyDescent="0.25">
      <c r="B340" s="34">
        <v>333</v>
      </c>
      <c r="C340" s="41" t="s">
        <v>1361</v>
      </c>
      <c r="D340" s="82" t="s">
        <v>1362</v>
      </c>
      <c r="E340" s="88" t="s">
        <v>158</v>
      </c>
      <c r="F340" s="253">
        <v>1.75</v>
      </c>
      <c r="G340" s="253">
        <v>65.41</v>
      </c>
      <c r="H340" s="41" t="s">
        <v>924</v>
      </c>
      <c r="I340" s="88" t="s">
        <v>930</v>
      </c>
      <c r="J340" s="283">
        <v>114.4675</v>
      </c>
      <c r="K340" s="284">
        <f t="shared" si="38"/>
        <v>1</v>
      </c>
      <c r="L340" s="285">
        <v>0</v>
      </c>
      <c r="M340" s="283">
        <f t="shared" si="36"/>
        <v>114.4675</v>
      </c>
      <c r="N340" s="283" t="str">
        <f t="shared" si="40"/>
        <v>Calculated (1.75 kg/Set @ INR 65.41 per kg)</v>
      </c>
      <c r="O340" s="253">
        <f t="shared" si="39"/>
        <v>114.4675</v>
      </c>
      <c r="P340" s="283" t="s">
        <v>918</v>
      </c>
      <c r="Q340" s="283">
        <f t="shared" si="34"/>
        <v>135.07165000000001</v>
      </c>
      <c r="R340" s="283">
        <f t="shared" si="35"/>
        <v>144.22905</v>
      </c>
      <c r="S340" s="33"/>
      <c r="T340" s="33"/>
    </row>
    <row r="341" spans="2:20" ht="25.5" customHeight="1" x14ac:dyDescent="0.25">
      <c r="B341" s="34">
        <v>334</v>
      </c>
      <c r="C341" s="41" t="s">
        <v>1363</v>
      </c>
      <c r="D341" s="82" t="s">
        <v>1364</v>
      </c>
      <c r="E341" s="88" t="s">
        <v>158</v>
      </c>
      <c r="F341" s="253">
        <v>1.75</v>
      </c>
      <c r="G341" s="253">
        <v>46.8</v>
      </c>
      <c r="H341" s="41" t="s">
        <v>924</v>
      </c>
      <c r="I341" s="88" t="s">
        <v>930</v>
      </c>
      <c r="J341" s="283">
        <v>81.899999999999991</v>
      </c>
      <c r="K341" s="284">
        <f t="shared" si="38"/>
        <v>1.0126343788097087</v>
      </c>
      <c r="L341" s="285">
        <f>$V$8</f>
        <v>1.2634378809708687E-2</v>
      </c>
      <c r="M341" s="283">
        <f t="shared" si="36"/>
        <v>82.934755624515134</v>
      </c>
      <c r="N341" s="283" t="str">
        <f t="shared" si="40"/>
        <v>Calculated (1.75 kg/Set @ INR 46.8 per kg)</v>
      </c>
      <c r="O341" s="253">
        <f t="shared" si="39"/>
        <v>82.934755624515134</v>
      </c>
      <c r="P341" s="283" t="s">
        <v>918</v>
      </c>
      <c r="Q341" s="283">
        <f t="shared" si="34"/>
        <v>97.863011636927851</v>
      </c>
      <c r="R341" s="283">
        <f t="shared" si="35"/>
        <v>104.49779208688906</v>
      </c>
      <c r="S341" s="33"/>
      <c r="T341" s="33"/>
    </row>
    <row r="342" spans="2:20" ht="25.5" customHeight="1" x14ac:dyDescent="0.25">
      <c r="B342" s="34">
        <v>335</v>
      </c>
      <c r="C342" s="41" t="s">
        <v>1365</v>
      </c>
      <c r="D342" s="85" t="s">
        <v>1366</v>
      </c>
      <c r="E342" s="88" t="s">
        <v>158</v>
      </c>
      <c r="F342" s="253">
        <v>0.9</v>
      </c>
      <c r="G342" s="253">
        <v>65.41</v>
      </c>
      <c r="H342" s="41" t="s">
        <v>924</v>
      </c>
      <c r="I342" s="88" t="s">
        <v>930</v>
      </c>
      <c r="J342" s="283">
        <v>58.869</v>
      </c>
      <c r="K342" s="284">
        <f t="shared" si="38"/>
        <v>1</v>
      </c>
      <c r="L342" s="285">
        <v>0</v>
      </c>
      <c r="M342" s="283">
        <f t="shared" si="36"/>
        <v>58.869</v>
      </c>
      <c r="N342" s="283" t="str">
        <f t="shared" si="40"/>
        <v>Calculated (0.9 kg/Set @ INR 65.41 per kg)</v>
      </c>
      <c r="O342" s="253">
        <f t="shared" si="39"/>
        <v>58.869</v>
      </c>
      <c r="P342" s="283" t="s">
        <v>918</v>
      </c>
      <c r="Q342" s="283">
        <f t="shared" si="34"/>
        <v>69.465419999999995</v>
      </c>
      <c r="R342" s="283">
        <f t="shared" si="35"/>
        <v>74.174940000000007</v>
      </c>
      <c r="S342" s="33"/>
      <c r="T342" s="33"/>
    </row>
    <row r="343" spans="2:20" ht="25.5" customHeight="1" x14ac:dyDescent="0.25">
      <c r="B343" s="34">
        <v>336</v>
      </c>
      <c r="C343" s="41" t="s">
        <v>1367</v>
      </c>
      <c r="D343" s="85" t="s">
        <v>1368</v>
      </c>
      <c r="E343" s="88" t="s">
        <v>158</v>
      </c>
      <c r="F343" s="253">
        <v>0.9</v>
      </c>
      <c r="G343" s="253">
        <v>46.8</v>
      </c>
      <c r="H343" s="41" t="s">
        <v>924</v>
      </c>
      <c r="I343" s="88" t="s">
        <v>930</v>
      </c>
      <c r="J343" s="283">
        <v>42.12</v>
      </c>
      <c r="K343" s="284">
        <f t="shared" si="38"/>
        <v>1.0126343788097087</v>
      </c>
      <c r="L343" s="285">
        <f>$V$8</f>
        <v>1.2634378809708687E-2</v>
      </c>
      <c r="M343" s="283">
        <f t="shared" si="36"/>
        <v>42.652160035464931</v>
      </c>
      <c r="N343" s="283" t="str">
        <f t="shared" si="40"/>
        <v>Calculated (0.9 kg/Set @ INR 46.8 per kg)</v>
      </c>
      <c r="O343" s="253">
        <f t="shared" si="39"/>
        <v>42.652160035464931</v>
      </c>
      <c r="P343" s="283" t="s">
        <v>918</v>
      </c>
      <c r="Q343" s="283">
        <f t="shared" si="34"/>
        <v>50.329548841848613</v>
      </c>
      <c r="R343" s="283">
        <f t="shared" si="35"/>
        <v>53.741721644685811</v>
      </c>
      <c r="S343" s="33"/>
      <c r="T343" s="33"/>
    </row>
    <row r="344" spans="2:20" ht="25.5" customHeight="1" x14ac:dyDescent="0.25">
      <c r="B344" s="34">
        <v>337</v>
      </c>
      <c r="C344" s="41" t="s">
        <v>458</v>
      </c>
      <c r="D344" s="82" t="s">
        <v>459</v>
      </c>
      <c r="E344" s="41" t="s">
        <v>158</v>
      </c>
      <c r="F344" s="253">
        <v>44.96</v>
      </c>
      <c r="G344" s="253">
        <v>65.400000000000006</v>
      </c>
      <c r="H344" s="41" t="s">
        <v>924</v>
      </c>
      <c r="I344" s="88" t="s">
        <v>930</v>
      </c>
      <c r="J344" s="283">
        <v>2940.3840000000005</v>
      </c>
      <c r="K344" s="284">
        <f t="shared" si="38"/>
        <v>1</v>
      </c>
      <c r="L344" s="285">
        <v>0</v>
      </c>
      <c r="M344" s="283">
        <f t="shared" si="36"/>
        <v>2940.3840000000005</v>
      </c>
      <c r="N344" s="283" t="str">
        <f t="shared" si="40"/>
        <v>Calculated (44.96 kg/Set @ INR 65.4 per kg)</v>
      </c>
      <c r="O344" s="253">
        <f t="shared" si="39"/>
        <v>2940.3840000000005</v>
      </c>
      <c r="P344" s="283" t="s">
        <v>918</v>
      </c>
      <c r="Q344" s="283">
        <f t="shared" si="34"/>
        <v>3469.6531200000004</v>
      </c>
      <c r="R344" s="283">
        <f t="shared" si="35"/>
        <v>3704.8838400000004</v>
      </c>
      <c r="S344" s="33"/>
      <c r="T344" s="33"/>
    </row>
    <row r="345" spans="2:20" ht="25.5" customHeight="1" x14ac:dyDescent="0.25">
      <c r="B345" s="34">
        <v>338</v>
      </c>
      <c r="C345" s="72">
        <v>35.1</v>
      </c>
      <c r="D345" s="82" t="s">
        <v>1369</v>
      </c>
      <c r="E345" s="41" t="s">
        <v>158</v>
      </c>
      <c r="F345" s="253">
        <v>44.96</v>
      </c>
      <c r="G345" s="253">
        <v>48.65</v>
      </c>
      <c r="H345" s="41" t="s">
        <v>915</v>
      </c>
      <c r="I345" s="88" t="s">
        <v>930</v>
      </c>
      <c r="J345" s="283">
        <v>2154.29</v>
      </c>
      <c r="K345" s="284">
        <f t="shared" si="38"/>
        <v>1.0126343788097087</v>
      </c>
      <c r="L345" s="285">
        <f>$V$8</f>
        <v>1.2634378809708687E-2</v>
      </c>
      <c r="M345" s="283">
        <f t="shared" si="36"/>
        <v>2181.5081159259676</v>
      </c>
      <c r="N345" s="283" t="s">
        <v>961</v>
      </c>
      <c r="O345" s="253">
        <f t="shared" si="39"/>
        <v>2181.5081159259676</v>
      </c>
      <c r="P345" s="283" t="s">
        <v>918</v>
      </c>
      <c r="Q345" s="283">
        <f t="shared" si="34"/>
        <v>2574.1795767926415</v>
      </c>
      <c r="R345" s="283">
        <f t="shared" si="35"/>
        <v>2748.7002260667191</v>
      </c>
      <c r="S345" s="33"/>
      <c r="T345" s="33"/>
    </row>
    <row r="346" spans="2:20" ht="25.5" customHeight="1" x14ac:dyDescent="0.25">
      <c r="B346" s="34">
        <v>339</v>
      </c>
      <c r="C346" s="72" t="s">
        <v>322</v>
      </c>
      <c r="D346" s="82" t="s">
        <v>323</v>
      </c>
      <c r="E346" s="41" t="s">
        <v>316</v>
      </c>
      <c r="F346" s="283">
        <v>2.16</v>
      </c>
      <c r="G346" s="253">
        <v>65.400000000000006</v>
      </c>
      <c r="H346" s="41" t="s">
        <v>915</v>
      </c>
      <c r="I346" s="88" t="s">
        <v>930</v>
      </c>
      <c r="J346" s="283">
        <v>141.28559999999999</v>
      </c>
      <c r="K346" s="284">
        <f t="shared" si="38"/>
        <v>1</v>
      </c>
      <c r="L346" s="285">
        <v>0</v>
      </c>
      <c r="M346" s="283">
        <f t="shared" si="36"/>
        <v>141.28559999999999</v>
      </c>
      <c r="N346" s="283" t="s">
        <v>1324</v>
      </c>
      <c r="O346" s="253">
        <f t="shared" si="39"/>
        <v>141.28559999999999</v>
      </c>
      <c r="P346" s="283" t="s">
        <v>918</v>
      </c>
      <c r="Q346" s="283">
        <f t="shared" si="34"/>
        <v>166.71700799999996</v>
      </c>
      <c r="R346" s="283">
        <f t="shared" si="35"/>
        <v>178.01985599999998</v>
      </c>
      <c r="S346" s="33"/>
      <c r="T346" s="33"/>
    </row>
    <row r="347" spans="2:20" ht="25.5" customHeight="1" x14ac:dyDescent="0.25">
      <c r="B347" s="34">
        <v>340</v>
      </c>
      <c r="C347" s="72">
        <v>55.1</v>
      </c>
      <c r="D347" s="82" t="s">
        <v>1370</v>
      </c>
      <c r="E347" s="41" t="s">
        <v>316</v>
      </c>
      <c r="F347" s="283">
        <v>2.16</v>
      </c>
      <c r="G347" s="253">
        <v>42.02</v>
      </c>
      <c r="H347" s="41" t="s">
        <v>915</v>
      </c>
      <c r="I347" s="88" t="s">
        <v>930</v>
      </c>
      <c r="J347" s="283">
        <v>135.69</v>
      </c>
      <c r="K347" s="284">
        <f t="shared" si="38"/>
        <v>1.0126343788097087</v>
      </c>
      <c r="L347" s="285">
        <f>$V$8</f>
        <v>1.2634378809708687E-2</v>
      </c>
      <c r="M347" s="283">
        <f t="shared" si="36"/>
        <v>137.40435886068937</v>
      </c>
      <c r="N347" s="283" t="s">
        <v>961</v>
      </c>
      <c r="O347" s="253">
        <f t="shared" si="39"/>
        <v>137.40435886068937</v>
      </c>
      <c r="P347" s="283" t="s">
        <v>918</v>
      </c>
      <c r="Q347" s="283">
        <f t="shared" si="34"/>
        <v>162.13714345561345</v>
      </c>
      <c r="R347" s="283">
        <f t="shared" si="35"/>
        <v>173.12949216446862</v>
      </c>
      <c r="S347" s="33"/>
      <c r="T347" s="33"/>
    </row>
    <row r="348" spans="2:20" ht="25.5" customHeight="1" x14ac:dyDescent="0.25">
      <c r="B348" s="34">
        <v>341</v>
      </c>
      <c r="C348" s="41" t="s">
        <v>462</v>
      </c>
      <c r="D348" s="82" t="s">
        <v>463</v>
      </c>
      <c r="E348" s="41" t="s">
        <v>250</v>
      </c>
      <c r="F348" s="253">
        <v>2.16</v>
      </c>
      <c r="G348" s="253">
        <v>65.400000000000006</v>
      </c>
      <c r="H348" s="41" t="s">
        <v>924</v>
      </c>
      <c r="I348" s="88" t="s">
        <v>930</v>
      </c>
      <c r="J348" s="283">
        <v>141.26400000000001</v>
      </c>
      <c r="K348" s="284">
        <f t="shared" si="38"/>
        <v>1</v>
      </c>
      <c r="L348" s="285">
        <v>0</v>
      </c>
      <c r="M348" s="283">
        <f t="shared" si="36"/>
        <v>141.26400000000001</v>
      </c>
      <c r="N348" s="283" t="str">
        <f>"Calculated ("&amp;F348&amp;" kg/"&amp;E348&amp;" @ INR "&amp;G348&amp;" per kg)"</f>
        <v>Calculated (2.16 kg/Pair @ INR 65.4 per kg)</v>
      </c>
      <c r="O348" s="253">
        <f t="shared" si="39"/>
        <v>141.26400000000001</v>
      </c>
      <c r="P348" s="283" t="s">
        <v>918</v>
      </c>
      <c r="Q348" s="283">
        <f t="shared" si="34"/>
        <v>166.69152</v>
      </c>
      <c r="R348" s="283">
        <f t="shared" si="35"/>
        <v>177.99264000000002</v>
      </c>
      <c r="S348" s="33"/>
      <c r="T348" s="33"/>
    </row>
    <row r="349" spans="2:20" ht="15" customHeight="1" x14ac:dyDescent="0.25">
      <c r="B349" s="34">
        <v>342</v>
      </c>
      <c r="C349" s="72">
        <v>56.1</v>
      </c>
      <c r="D349" s="82" t="s">
        <v>1371</v>
      </c>
      <c r="E349" s="41" t="s">
        <v>250</v>
      </c>
      <c r="F349" s="253">
        <v>2.16</v>
      </c>
      <c r="G349" s="253">
        <v>37.79</v>
      </c>
      <c r="H349" s="41" t="s">
        <v>915</v>
      </c>
      <c r="I349" s="88" t="s">
        <v>930</v>
      </c>
      <c r="J349" s="283">
        <v>70.942499999999995</v>
      </c>
      <c r="K349" s="284">
        <f t="shared" si="38"/>
        <v>1.0126343788097087</v>
      </c>
      <c r="L349" s="285">
        <f>$V$8</f>
        <v>1.2634378809708687E-2</v>
      </c>
      <c r="M349" s="283">
        <f t="shared" si="36"/>
        <v>71.838814418707756</v>
      </c>
      <c r="N349" s="283" t="s">
        <v>961</v>
      </c>
      <c r="O349" s="253">
        <f t="shared" si="39"/>
        <v>71.838814418707756</v>
      </c>
      <c r="P349" s="283" t="s">
        <v>918</v>
      </c>
      <c r="Q349" s="283">
        <f t="shared" si="34"/>
        <v>84.769801014075142</v>
      </c>
      <c r="R349" s="283">
        <f t="shared" si="35"/>
        <v>90.516906167571776</v>
      </c>
      <c r="S349" s="33"/>
      <c r="T349" s="33"/>
    </row>
    <row r="350" spans="2:20" ht="25.5" customHeight="1" x14ac:dyDescent="0.25">
      <c r="B350" s="34">
        <v>343</v>
      </c>
      <c r="C350" s="41" t="s">
        <v>464</v>
      </c>
      <c r="D350" s="82" t="s">
        <v>1372</v>
      </c>
      <c r="E350" s="41" t="s">
        <v>250</v>
      </c>
      <c r="F350" s="253">
        <v>0.9</v>
      </c>
      <c r="G350" s="253">
        <v>65.400000000000006</v>
      </c>
      <c r="H350" s="41" t="s">
        <v>924</v>
      </c>
      <c r="I350" s="88" t="s">
        <v>930</v>
      </c>
      <c r="J350" s="283">
        <v>58.860000000000007</v>
      </c>
      <c r="K350" s="284">
        <f t="shared" si="38"/>
        <v>1</v>
      </c>
      <c r="L350" s="285">
        <v>0</v>
      </c>
      <c r="M350" s="283">
        <f t="shared" si="36"/>
        <v>58.860000000000007</v>
      </c>
      <c r="N350" s="283" t="str">
        <f>"Calculated ("&amp;F350&amp;" kg/"&amp;E350&amp;" @ INR "&amp;G350&amp;" per kg)"</f>
        <v>Calculated (0.9 kg/Pair @ INR 65.4 per kg)</v>
      </c>
      <c r="O350" s="253">
        <f t="shared" si="39"/>
        <v>58.860000000000007</v>
      </c>
      <c r="P350" s="283" t="s">
        <v>918</v>
      </c>
      <c r="Q350" s="283">
        <f t="shared" si="34"/>
        <v>69.454800000000006</v>
      </c>
      <c r="R350" s="283">
        <f t="shared" si="35"/>
        <v>74.163600000000002</v>
      </c>
      <c r="S350" s="33"/>
      <c r="T350" s="33"/>
    </row>
    <row r="351" spans="2:20" ht="15" customHeight="1" x14ac:dyDescent="0.25">
      <c r="B351" s="34">
        <v>344</v>
      </c>
      <c r="C351" s="72">
        <v>57.1</v>
      </c>
      <c r="D351" s="82" t="s">
        <v>1373</v>
      </c>
      <c r="E351" s="41" t="s">
        <v>250</v>
      </c>
      <c r="F351" s="253">
        <v>0.9</v>
      </c>
      <c r="G351" s="253">
        <v>52.3</v>
      </c>
      <c r="H351" s="41" t="s">
        <v>915</v>
      </c>
      <c r="I351" s="88" t="s">
        <v>930</v>
      </c>
      <c r="J351" s="283">
        <v>61.065000000000005</v>
      </c>
      <c r="K351" s="284">
        <f t="shared" si="38"/>
        <v>1.0126343788097087</v>
      </c>
      <c r="L351" s="285">
        <f>$V$8</f>
        <v>1.2634378809708687E-2</v>
      </c>
      <c r="M351" s="283">
        <f t="shared" si="36"/>
        <v>61.83651834201487</v>
      </c>
      <c r="N351" s="283" t="s">
        <v>961</v>
      </c>
      <c r="O351" s="253">
        <f t="shared" si="39"/>
        <v>61.83651834201487</v>
      </c>
      <c r="P351" s="283" t="s">
        <v>918</v>
      </c>
      <c r="Q351" s="283">
        <f t="shared" si="34"/>
        <v>72.967091643577547</v>
      </c>
      <c r="R351" s="283">
        <f t="shared" si="35"/>
        <v>77.91401311093874</v>
      </c>
      <c r="S351" s="33"/>
      <c r="T351" s="33"/>
    </row>
    <row r="352" spans="2:20" ht="25.5" customHeight="1" x14ac:dyDescent="0.25">
      <c r="B352" s="34">
        <v>345</v>
      </c>
      <c r="C352" s="41" t="s">
        <v>408</v>
      </c>
      <c r="D352" s="82" t="s">
        <v>1374</v>
      </c>
      <c r="E352" s="41" t="s">
        <v>316</v>
      </c>
      <c r="F352" s="253">
        <v>2.16</v>
      </c>
      <c r="G352" s="253">
        <v>65.41</v>
      </c>
      <c r="H352" s="41" t="s">
        <v>924</v>
      </c>
      <c r="I352" s="88" t="s">
        <v>930</v>
      </c>
      <c r="J352" s="283">
        <v>141.28559999999999</v>
      </c>
      <c r="K352" s="284">
        <f t="shared" si="38"/>
        <v>1</v>
      </c>
      <c r="L352" s="285">
        <v>0</v>
      </c>
      <c r="M352" s="283">
        <f t="shared" si="36"/>
        <v>141.28559999999999</v>
      </c>
      <c r="N352" s="283" t="str">
        <f>"Calculated ("&amp;F352&amp;" kg/"&amp;E352&amp;" @ INR "&amp;G352&amp;" per kg)"</f>
        <v>Calculated (2.16 kg/Set of 2 Pair @ INR 65.41 per kg)</v>
      </c>
      <c r="O352" s="253">
        <f t="shared" si="39"/>
        <v>141.28559999999999</v>
      </c>
      <c r="P352" s="283" t="s">
        <v>918</v>
      </c>
      <c r="Q352" s="283">
        <f t="shared" ref="Q352:Q414" si="41">M352*1.18</f>
        <v>166.71700799999996</v>
      </c>
      <c r="R352" s="283">
        <f t="shared" ref="R352:R414" si="42">M352*1.26</f>
        <v>178.01985599999998</v>
      </c>
      <c r="S352" s="33"/>
      <c r="T352" s="33"/>
    </row>
    <row r="353" spans="2:20" ht="25.5" customHeight="1" x14ac:dyDescent="0.25">
      <c r="B353" s="34">
        <v>346</v>
      </c>
      <c r="C353" s="72">
        <v>37.1</v>
      </c>
      <c r="D353" s="82" t="s">
        <v>1375</v>
      </c>
      <c r="E353" s="41" t="s">
        <v>316</v>
      </c>
      <c r="F353" s="253">
        <v>2.16</v>
      </c>
      <c r="G353" s="253">
        <v>38.479999999999997</v>
      </c>
      <c r="H353" s="41" t="s">
        <v>915</v>
      </c>
      <c r="I353" s="88" t="s">
        <v>930</v>
      </c>
      <c r="J353" s="283">
        <v>84.539999999999992</v>
      </c>
      <c r="K353" s="284">
        <f t="shared" si="38"/>
        <v>1.0126343788097087</v>
      </c>
      <c r="L353" s="285">
        <f>$V$8</f>
        <v>1.2634378809708687E-2</v>
      </c>
      <c r="M353" s="283">
        <f t="shared" si="36"/>
        <v>85.608110384572768</v>
      </c>
      <c r="N353" s="283" t="s">
        <v>961</v>
      </c>
      <c r="O353" s="253">
        <f t="shared" si="39"/>
        <v>85.608110384572768</v>
      </c>
      <c r="P353" s="283" t="s">
        <v>918</v>
      </c>
      <c r="Q353" s="283">
        <f t="shared" si="41"/>
        <v>101.01757025379587</v>
      </c>
      <c r="R353" s="283">
        <f t="shared" si="42"/>
        <v>107.86621908456169</v>
      </c>
      <c r="S353" s="33"/>
      <c r="T353" s="33"/>
    </row>
    <row r="354" spans="2:20" ht="25.5" customHeight="1" x14ac:dyDescent="0.25">
      <c r="B354" s="34">
        <v>347</v>
      </c>
      <c r="C354" s="41" t="s">
        <v>424</v>
      </c>
      <c r="D354" s="82" t="s">
        <v>1376</v>
      </c>
      <c r="E354" s="41" t="s">
        <v>316</v>
      </c>
      <c r="F354" s="253">
        <v>2.5</v>
      </c>
      <c r="G354" s="253">
        <v>65.41</v>
      </c>
      <c r="H354" s="41" t="s">
        <v>924</v>
      </c>
      <c r="I354" s="88" t="s">
        <v>930</v>
      </c>
      <c r="J354" s="283">
        <v>163.52499999999998</v>
      </c>
      <c r="K354" s="284">
        <f t="shared" si="38"/>
        <v>1</v>
      </c>
      <c r="L354" s="285">
        <v>0</v>
      </c>
      <c r="M354" s="283">
        <f t="shared" si="36"/>
        <v>163.52499999999998</v>
      </c>
      <c r="N354" s="283" t="str">
        <f t="shared" ref="N354:N363" si="43">"Calculated ("&amp;F354&amp;" kg/"&amp;E354&amp;" @ INR "&amp;G354&amp;" per kg)"</f>
        <v>Calculated (2.5 kg/Set of 2 Pair @ INR 65.41 per kg)</v>
      </c>
      <c r="O354" s="253">
        <f t="shared" si="39"/>
        <v>163.52499999999998</v>
      </c>
      <c r="P354" s="283" t="s">
        <v>918</v>
      </c>
      <c r="Q354" s="283">
        <f t="shared" si="41"/>
        <v>192.95949999999996</v>
      </c>
      <c r="R354" s="283">
        <f t="shared" si="42"/>
        <v>206.04149999999998</v>
      </c>
      <c r="S354" s="33"/>
      <c r="T354" s="33"/>
    </row>
    <row r="355" spans="2:20" ht="25.5" customHeight="1" x14ac:dyDescent="0.25">
      <c r="B355" s="34">
        <v>348</v>
      </c>
      <c r="C355" s="41" t="s">
        <v>1377</v>
      </c>
      <c r="D355" s="82" t="s">
        <v>1378</v>
      </c>
      <c r="E355" s="41" t="s">
        <v>316</v>
      </c>
      <c r="F355" s="253">
        <v>2.5</v>
      </c>
      <c r="G355" s="253">
        <v>46.8</v>
      </c>
      <c r="H355" s="41" t="s">
        <v>924</v>
      </c>
      <c r="I355" s="88" t="s">
        <v>930</v>
      </c>
      <c r="J355" s="283">
        <v>117</v>
      </c>
      <c r="K355" s="284">
        <f t="shared" si="38"/>
        <v>1.0126343788097087</v>
      </c>
      <c r="L355" s="285">
        <f>$V$8</f>
        <v>1.2634378809708687E-2</v>
      </c>
      <c r="M355" s="283">
        <f t="shared" si="36"/>
        <v>118.47822232073592</v>
      </c>
      <c r="N355" s="283" t="str">
        <f t="shared" si="43"/>
        <v>Calculated (2.5 kg/Set of 2 Pair @ INR 46.8 per kg)</v>
      </c>
      <c r="O355" s="253">
        <f t="shared" si="39"/>
        <v>118.47822232073592</v>
      </c>
      <c r="P355" s="283" t="s">
        <v>918</v>
      </c>
      <c r="Q355" s="283">
        <f t="shared" si="41"/>
        <v>139.80430233846837</v>
      </c>
      <c r="R355" s="283">
        <f t="shared" si="42"/>
        <v>149.28256012412726</v>
      </c>
      <c r="S355" s="33"/>
      <c r="T355" s="33"/>
    </row>
    <row r="356" spans="2:20" ht="25.5" customHeight="1" x14ac:dyDescent="0.25">
      <c r="B356" s="34">
        <v>349</v>
      </c>
      <c r="C356" s="41" t="s">
        <v>1379</v>
      </c>
      <c r="D356" s="82" t="s">
        <v>1380</v>
      </c>
      <c r="E356" s="41" t="s">
        <v>316</v>
      </c>
      <c r="F356" s="253">
        <v>1.8</v>
      </c>
      <c r="G356" s="253">
        <v>65.41</v>
      </c>
      <c r="H356" s="41" t="s">
        <v>924</v>
      </c>
      <c r="I356" s="88" t="s">
        <v>930</v>
      </c>
      <c r="J356" s="283">
        <v>117.738</v>
      </c>
      <c r="K356" s="284">
        <f t="shared" si="38"/>
        <v>1</v>
      </c>
      <c r="L356" s="285">
        <v>0</v>
      </c>
      <c r="M356" s="283">
        <f t="shared" si="36"/>
        <v>117.738</v>
      </c>
      <c r="N356" s="283" t="str">
        <f t="shared" si="43"/>
        <v>Calculated (1.8 kg/Set of 2 Pair @ INR 65.41 per kg)</v>
      </c>
      <c r="O356" s="253">
        <f t="shared" si="39"/>
        <v>117.738</v>
      </c>
      <c r="P356" s="283" t="s">
        <v>918</v>
      </c>
      <c r="Q356" s="283">
        <f t="shared" si="41"/>
        <v>138.93083999999999</v>
      </c>
      <c r="R356" s="283">
        <f t="shared" si="42"/>
        <v>148.34988000000001</v>
      </c>
      <c r="S356" s="33"/>
      <c r="T356" s="33"/>
    </row>
    <row r="357" spans="2:20" ht="25.5" customHeight="1" x14ac:dyDescent="0.25">
      <c r="B357" s="34">
        <v>350</v>
      </c>
      <c r="C357" s="41" t="s">
        <v>1381</v>
      </c>
      <c r="D357" s="82" t="s">
        <v>1382</v>
      </c>
      <c r="E357" s="41" t="s">
        <v>316</v>
      </c>
      <c r="F357" s="253">
        <v>1.8</v>
      </c>
      <c r="G357" s="253">
        <v>46.8</v>
      </c>
      <c r="H357" s="41" t="s">
        <v>924</v>
      </c>
      <c r="I357" s="88" t="s">
        <v>930</v>
      </c>
      <c r="J357" s="283">
        <v>84.24</v>
      </c>
      <c r="K357" s="284">
        <f t="shared" si="38"/>
        <v>1.0126343788097087</v>
      </c>
      <c r="L357" s="285">
        <f>$V$8</f>
        <v>1.2634378809708687E-2</v>
      </c>
      <c r="M357" s="283">
        <f t="shared" si="36"/>
        <v>85.304320070929862</v>
      </c>
      <c r="N357" s="283" t="str">
        <f t="shared" si="43"/>
        <v>Calculated (1.8 kg/Set of 2 Pair @ INR 46.8 per kg)</v>
      </c>
      <c r="O357" s="253">
        <f t="shared" si="39"/>
        <v>85.304320070929862</v>
      </c>
      <c r="P357" s="283" t="s">
        <v>918</v>
      </c>
      <c r="Q357" s="283">
        <f t="shared" si="41"/>
        <v>100.65909768369723</v>
      </c>
      <c r="R357" s="283">
        <f t="shared" si="42"/>
        <v>107.48344328937162</v>
      </c>
      <c r="S357" s="33"/>
      <c r="T357" s="33"/>
    </row>
    <row r="358" spans="2:20" ht="25.5" customHeight="1" x14ac:dyDescent="0.25">
      <c r="B358" s="34">
        <v>351</v>
      </c>
      <c r="C358" s="41" t="s">
        <v>1383</v>
      </c>
      <c r="D358" s="82" t="s">
        <v>1384</v>
      </c>
      <c r="E358" s="41" t="s">
        <v>316</v>
      </c>
      <c r="F358" s="253">
        <v>1.8</v>
      </c>
      <c r="G358" s="253">
        <v>65.41</v>
      </c>
      <c r="H358" s="41" t="s">
        <v>924</v>
      </c>
      <c r="I358" s="88" t="s">
        <v>930</v>
      </c>
      <c r="J358" s="283">
        <v>117.738</v>
      </c>
      <c r="K358" s="284">
        <f t="shared" si="38"/>
        <v>1</v>
      </c>
      <c r="L358" s="285">
        <v>0</v>
      </c>
      <c r="M358" s="283">
        <f t="shared" si="36"/>
        <v>117.738</v>
      </c>
      <c r="N358" s="283" t="str">
        <f t="shared" si="43"/>
        <v>Calculated (1.8 kg/Set of 2 Pair @ INR 65.41 per kg)</v>
      </c>
      <c r="O358" s="253">
        <f t="shared" si="39"/>
        <v>117.738</v>
      </c>
      <c r="P358" s="283" t="s">
        <v>918</v>
      </c>
      <c r="Q358" s="283">
        <f t="shared" si="41"/>
        <v>138.93083999999999</v>
      </c>
      <c r="R358" s="283">
        <f t="shared" si="42"/>
        <v>148.34988000000001</v>
      </c>
      <c r="S358" s="33"/>
      <c r="T358" s="33"/>
    </row>
    <row r="359" spans="2:20" ht="25.5" customHeight="1" x14ac:dyDescent="0.25">
      <c r="B359" s="34">
        <v>352</v>
      </c>
      <c r="C359" s="41" t="s">
        <v>1385</v>
      </c>
      <c r="D359" s="82" t="s">
        <v>1386</v>
      </c>
      <c r="E359" s="41" t="s">
        <v>316</v>
      </c>
      <c r="F359" s="253">
        <v>1.8</v>
      </c>
      <c r="G359" s="253">
        <v>46.8</v>
      </c>
      <c r="H359" s="41" t="s">
        <v>924</v>
      </c>
      <c r="I359" s="88" t="s">
        <v>930</v>
      </c>
      <c r="J359" s="283">
        <v>84.24</v>
      </c>
      <c r="K359" s="284">
        <f t="shared" si="38"/>
        <v>1.0126343788097087</v>
      </c>
      <c r="L359" s="285">
        <f>$V$8</f>
        <v>1.2634378809708687E-2</v>
      </c>
      <c r="M359" s="283">
        <f t="shared" si="36"/>
        <v>85.304320070929862</v>
      </c>
      <c r="N359" s="283" t="str">
        <f t="shared" si="43"/>
        <v>Calculated (1.8 kg/Set of 2 Pair @ INR 46.8 per kg)</v>
      </c>
      <c r="O359" s="253">
        <f t="shared" si="39"/>
        <v>85.304320070929862</v>
      </c>
      <c r="P359" s="283" t="s">
        <v>918</v>
      </c>
      <c r="Q359" s="283">
        <f t="shared" si="41"/>
        <v>100.65909768369723</v>
      </c>
      <c r="R359" s="283">
        <f t="shared" si="42"/>
        <v>107.48344328937162</v>
      </c>
      <c r="S359" s="33"/>
      <c r="T359" s="33"/>
    </row>
    <row r="360" spans="2:20" ht="25.5" customHeight="1" x14ac:dyDescent="0.25">
      <c r="B360" s="34">
        <v>353</v>
      </c>
      <c r="C360" s="41" t="s">
        <v>406</v>
      </c>
      <c r="D360" s="85" t="s">
        <v>1387</v>
      </c>
      <c r="E360" s="41" t="s">
        <v>250</v>
      </c>
      <c r="F360" s="253">
        <v>4.2</v>
      </c>
      <c r="G360" s="253">
        <v>65.41</v>
      </c>
      <c r="H360" s="41" t="s">
        <v>924</v>
      </c>
      <c r="I360" s="88" t="s">
        <v>930</v>
      </c>
      <c r="J360" s="283">
        <v>274.72199999999998</v>
      </c>
      <c r="K360" s="284">
        <f t="shared" si="38"/>
        <v>1</v>
      </c>
      <c r="L360" s="285">
        <v>0</v>
      </c>
      <c r="M360" s="283">
        <f t="shared" si="36"/>
        <v>274.72199999999998</v>
      </c>
      <c r="N360" s="283" t="str">
        <f t="shared" si="43"/>
        <v>Calculated (4.2 kg/Pair @ INR 65.41 per kg)</v>
      </c>
      <c r="O360" s="253">
        <f t="shared" si="39"/>
        <v>274.72199999999998</v>
      </c>
      <c r="P360" s="283" t="s">
        <v>918</v>
      </c>
      <c r="Q360" s="283">
        <f t="shared" si="41"/>
        <v>324.17195999999996</v>
      </c>
      <c r="R360" s="283">
        <f t="shared" si="42"/>
        <v>346.14972</v>
      </c>
      <c r="S360" s="33"/>
      <c r="T360" s="33"/>
    </row>
    <row r="361" spans="2:20" ht="25.5" customHeight="1" x14ac:dyDescent="0.25">
      <c r="B361" s="34">
        <v>354</v>
      </c>
      <c r="C361" s="41" t="s">
        <v>1388</v>
      </c>
      <c r="D361" s="85" t="s">
        <v>1389</v>
      </c>
      <c r="E361" s="41" t="s">
        <v>250</v>
      </c>
      <c r="F361" s="253">
        <v>4.2</v>
      </c>
      <c r="G361" s="253">
        <v>46.8</v>
      </c>
      <c r="H361" s="41" t="s">
        <v>924</v>
      </c>
      <c r="I361" s="88" t="s">
        <v>930</v>
      </c>
      <c r="J361" s="283">
        <v>196.56</v>
      </c>
      <c r="K361" s="284">
        <f t="shared" si="38"/>
        <v>1.0126343788097087</v>
      </c>
      <c r="L361" s="285">
        <f>$V$8</f>
        <v>1.2634378809708687E-2</v>
      </c>
      <c r="M361" s="283">
        <f t="shared" si="36"/>
        <v>199.04341349883634</v>
      </c>
      <c r="N361" s="283" t="str">
        <f t="shared" si="43"/>
        <v>Calculated (4.2 kg/Pair @ INR 46.8 per kg)</v>
      </c>
      <c r="O361" s="253">
        <f t="shared" si="39"/>
        <v>199.04341349883634</v>
      </c>
      <c r="P361" s="283" t="s">
        <v>918</v>
      </c>
      <c r="Q361" s="283">
        <f t="shared" si="41"/>
        <v>234.87122792862687</v>
      </c>
      <c r="R361" s="283">
        <f t="shared" si="42"/>
        <v>250.79470100853379</v>
      </c>
      <c r="S361" s="33"/>
      <c r="T361" s="33"/>
    </row>
    <row r="362" spans="2:20" ht="25.5" customHeight="1" x14ac:dyDescent="0.25">
      <c r="B362" s="34">
        <v>355</v>
      </c>
      <c r="C362" s="41" t="s">
        <v>422</v>
      </c>
      <c r="D362" s="85" t="s">
        <v>1390</v>
      </c>
      <c r="E362" s="41" t="s">
        <v>250</v>
      </c>
      <c r="F362" s="253">
        <v>4.4000000000000004</v>
      </c>
      <c r="G362" s="253">
        <v>65.41</v>
      </c>
      <c r="H362" s="41" t="s">
        <v>924</v>
      </c>
      <c r="I362" s="88" t="s">
        <v>930</v>
      </c>
      <c r="J362" s="283">
        <v>287.80400000000003</v>
      </c>
      <c r="K362" s="284">
        <f t="shared" si="38"/>
        <v>1</v>
      </c>
      <c r="L362" s="285">
        <v>0</v>
      </c>
      <c r="M362" s="283">
        <f t="shared" si="36"/>
        <v>287.80400000000003</v>
      </c>
      <c r="N362" s="283" t="str">
        <f t="shared" si="43"/>
        <v>Calculated (4.4 kg/Pair @ INR 65.41 per kg)</v>
      </c>
      <c r="O362" s="253">
        <f t="shared" si="39"/>
        <v>287.80400000000003</v>
      </c>
      <c r="P362" s="283" t="s">
        <v>918</v>
      </c>
      <c r="Q362" s="283">
        <f t="shared" si="41"/>
        <v>339.60872000000001</v>
      </c>
      <c r="R362" s="283">
        <f t="shared" si="42"/>
        <v>362.63304000000005</v>
      </c>
      <c r="S362" s="33"/>
      <c r="T362" s="33"/>
    </row>
    <row r="363" spans="2:20" ht="25.5" customHeight="1" x14ac:dyDescent="0.25">
      <c r="B363" s="34">
        <v>356</v>
      </c>
      <c r="C363" s="41" t="s">
        <v>1391</v>
      </c>
      <c r="D363" s="85" t="s">
        <v>1392</v>
      </c>
      <c r="E363" s="41" t="s">
        <v>250</v>
      </c>
      <c r="F363" s="253">
        <v>4.4000000000000004</v>
      </c>
      <c r="G363" s="253">
        <v>46.8</v>
      </c>
      <c r="H363" s="41" t="s">
        <v>924</v>
      </c>
      <c r="I363" s="88" t="s">
        <v>930</v>
      </c>
      <c r="J363" s="283">
        <v>205.92000000000002</v>
      </c>
      <c r="K363" s="284">
        <f t="shared" si="38"/>
        <v>1.0126343788097087</v>
      </c>
      <c r="L363" s="285">
        <f>$V$8</f>
        <v>1.2634378809708687E-2</v>
      </c>
      <c r="M363" s="283">
        <f t="shared" si="36"/>
        <v>208.52167128449523</v>
      </c>
      <c r="N363" s="283" t="str">
        <f t="shared" si="43"/>
        <v>Calculated (4.4 kg/Pair @ INR 46.8 per kg)</v>
      </c>
      <c r="O363" s="253">
        <f t="shared" si="39"/>
        <v>208.52167128449523</v>
      </c>
      <c r="P363" s="283" t="s">
        <v>918</v>
      </c>
      <c r="Q363" s="283">
        <f t="shared" si="41"/>
        <v>246.05557211570436</v>
      </c>
      <c r="R363" s="283">
        <f t="shared" si="42"/>
        <v>262.73730581846399</v>
      </c>
      <c r="S363" s="33"/>
      <c r="T363" s="33"/>
    </row>
    <row r="364" spans="2:20" ht="25.5" customHeight="1" x14ac:dyDescent="0.25">
      <c r="B364" s="34">
        <v>357</v>
      </c>
      <c r="C364" s="41" t="s">
        <v>1393</v>
      </c>
      <c r="D364" s="85" t="s">
        <v>1394</v>
      </c>
      <c r="E364" s="41" t="s">
        <v>250</v>
      </c>
      <c r="F364" s="253">
        <v>2.6</v>
      </c>
      <c r="G364" s="253">
        <v>65.41</v>
      </c>
      <c r="H364" s="41" t="s">
        <v>915</v>
      </c>
      <c r="I364" s="88" t="s">
        <v>930</v>
      </c>
      <c r="J364" s="283">
        <v>170.066</v>
      </c>
      <c r="K364" s="284">
        <f t="shared" si="38"/>
        <v>1</v>
      </c>
      <c r="L364" s="285">
        <v>0</v>
      </c>
      <c r="M364" s="283">
        <f t="shared" si="36"/>
        <v>170.066</v>
      </c>
      <c r="N364" s="283" t="s">
        <v>1324</v>
      </c>
      <c r="O364" s="253">
        <f t="shared" si="39"/>
        <v>170.066</v>
      </c>
      <c r="P364" s="283" t="s">
        <v>918</v>
      </c>
      <c r="Q364" s="283">
        <f t="shared" si="41"/>
        <v>200.67787999999999</v>
      </c>
      <c r="R364" s="283">
        <f t="shared" si="42"/>
        <v>214.28316000000001</v>
      </c>
      <c r="S364" s="33"/>
      <c r="T364" s="33"/>
    </row>
    <row r="365" spans="2:20" ht="25.5" customHeight="1" x14ac:dyDescent="0.25">
      <c r="B365" s="34">
        <v>358</v>
      </c>
      <c r="C365" s="72">
        <v>36.1</v>
      </c>
      <c r="D365" s="85" t="s">
        <v>1395</v>
      </c>
      <c r="E365" s="41" t="s">
        <v>250</v>
      </c>
      <c r="F365" s="253">
        <v>2.6</v>
      </c>
      <c r="G365" s="253">
        <v>32.03</v>
      </c>
      <c r="H365" s="41" t="s">
        <v>915</v>
      </c>
      <c r="I365" s="88" t="s">
        <v>930</v>
      </c>
      <c r="J365" s="283">
        <v>86.622500000000002</v>
      </c>
      <c r="K365" s="284">
        <f t="shared" si="38"/>
        <v>1.0126343788097087</v>
      </c>
      <c r="L365" s="285">
        <f>$V$8</f>
        <v>1.2634378809708687E-2</v>
      </c>
      <c r="M365" s="283">
        <f t="shared" si="36"/>
        <v>87.716921478443993</v>
      </c>
      <c r="N365" s="283" t="s">
        <v>961</v>
      </c>
      <c r="O365" s="253">
        <f t="shared" si="39"/>
        <v>87.716921478443993</v>
      </c>
      <c r="P365" s="283" t="s">
        <v>918</v>
      </c>
      <c r="Q365" s="283">
        <f t="shared" si="41"/>
        <v>103.5059673445639</v>
      </c>
      <c r="R365" s="283">
        <f t="shared" si="42"/>
        <v>110.52332106283943</v>
      </c>
      <c r="S365" s="33"/>
      <c r="T365" s="33"/>
    </row>
    <row r="366" spans="2:20" ht="25.5" customHeight="1" x14ac:dyDescent="0.25">
      <c r="B366" s="34">
        <v>359</v>
      </c>
      <c r="C366" s="41" t="s">
        <v>1396</v>
      </c>
      <c r="D366" s="85" t="s">
        <v>1397</v>
      </c>
      <c r="E366" s="41" t="s">
        <v>250</v>
      </c>
      <c r="F366" s="253">
        <v>2.6</v>
      </c>
      <c r="G366" s="253">
        <v>65.41</v>
      </c>
      <c r="H366" s="41" t="s">
        <v>924</v>
      </c>
      <c r="I366" s="88" t="s">
        <v>930</v>
      </c>
      <c r="J366" s="283">
        <v>170.066</v>
      </c>
      <c r="K366" s="284">
        <f t="shared" si="38"/>
        <v>1</v>
      </c>
      <c r="L366" s="285">
        <v>0</v>
      </c>
      <c r="M366" s="283">
        <f t="shared" si="36"/>
        <v>170.066</v>
      </c>
      <c r="N366" s="283" t="str">
        <f>"Calculated ("&amp;F366&amp;" kg/"&amp;E366&amp;" @ INR "&amp;G366&amp;" per kg)"</f>
        <v>Calculated (2.6 kg/Pair @ INR 65.41 per kg)</v>
      </c>
      <c r="O366" s="253">
        <f t="shared" si="39"/>
        <v>170.066</v>
      </c>
      <c r="P366" s="283" t="s">
        <v>918</v>
      </c>
      <c r="Q366" s="283">
        <f t="shared" si="41"/>
        <v>200.67787999999999</v>
      </c>
      <c r="R366" s="283">
        <f t="shared" si="42"/>
        <v>214.28316000000001</v>
      </c>
      <c r="S366" s="33"/>
      <c r="T366" s="33"/>
    </row>
    <row r="367" spans="2:20" ht="25.5" customHeight="1" x14ac:dyDescent="0.25">
      <c r="B367" s="34">
        <v>360</v>
      </c>
      <c r="C367" s="41" t="s">
        <v>1398</v>
      </c>
      <c r="D367" s="85" t="s">
        <v>1399</v>
      </c>
      <c r="E367" s="41" t="s">
        <v>250</v>
      </c>
      <c r="F367" s="253">
        <v>2.6</v>
      </c>
      <c r="G367" s="253">
        <v>46.8</v>
      </c>
      <c r="H367" s="41" t="s">
        <v>924</v>
      </c>
      <c r="I367" s="88" t="s">
        <v>930</v>
      </c>
      <c r="J367" s="283">
        <v>121.67999999999999</v>
      </c>
      <c r="K367" s="284">
        <f t="shared" si="38"/>
        <v>1.0126343788097087</v>
      </c>
      <c r="L367" s="285">
        <f>$V$8</f>
        <v>1.2634378809708687E-2</v>
      </c>
      <c r="M367" s="283">
        <f t="shared" si="36"/>
        <v>123.21735121356535</v>
      </c>
      <c r="N367" s="283" t="str">
        <f>"Calculated ("&amp;F367&amp;" kg/"&amp;E367&amp;" @ INR "&amp;G367&amp;" per kg)"</f>
        <v>Calculated (2.6 kg/Pair @ INR 46.8 per kg)</v>
      </c>
      <c r="O367" s="253">
        <f t="shared" si="39"/>
        <v>123.21735121356535</v>
      </c>
      <c r="P367" s="283" t="s">
        <v>918</v>
      </c>
      <c r="Q367" s="283">
        <f t="shared" si="41"/>
        <v>145.3964744320071</v>
      </c>
      <c r="R367" s="283">
        <f t="shared" si="42"/>
        <v>155.25386252909234</v>
      </c>
      <c r="S367" s="33"/>
      <c r="T367" s="33"/>
    </row>
    <row r="368" spans="2:20" ht="25.5" customHeight="1" x14ac:dyDescent="0.25">
      <c r="B368" s="34">
        <v>361</v>
      </c>
      <c r="C368" s="41" t="s">
        <v>1400</v>
      </c>
      <c r="D368" s="82" t="s">
        <v>1401</v>
      </c>
      <c r="E368" s="88" t="s">
        <v>158</v>
      </c>
      <c r="F368" s="253">
        <v>42</v>
      </c>
      <c r="G368" s="253">
        <v>65.41</v>
      </c>
      <c r="H368" s="41" t="s">
        <v>924</v>
      </c>
      <c r="I368" s="88" t="s">
        <v>930</v>
      </c>
      <c r="J368" s="283">
        <v>2747.22</v>
      </c>
      <c r="K368" s="284">
        <f t="shared" si="38"/>
        <v>1</v>
      </c>
      <c r="L368" s="285">
        <v>0</v>
      </c>
      <c r="M368" s="283">
        <f t="shared" si="36"/>
        <v>2747.22</v>
      </c>
      <c r="N368" s="283" t="str">
        <f>"Calculated ("&amp;F368&amp;" kg/"&amp;E368&amp;" @ INR "&amp;G368&amp;" per kg)"</f>
        <v>Calculated (42 kg/Set @ INR 65.41 per kg)</v>
      </c>
      <c r="O368" s="253">
        <f t="shared" si="39"/>
        <v>2747.22</v>
      </c>
      <c r="P368" s="283" t="s">
        <v>918</v>
      </c>
      <c r="Q368" s="283">
        <f t="shared" si="41"/>
        <v>3241.7195999999994</v>
      </c>
      <c r="R368" s="283">
        <f t="shared" si="42"/>
        <v>3461.4971999999998</v>
      </c>
      <c r="S368" s="33"/>
      <c r="T368" s="33"/>
    </row>
    <row r="369" spans="2:20" ht="15" customHeight="1" x14ac:dyDescent="0.25">
      <c r="B369" s="34">
        <v>362</v>
      </c>
      <c r="C369" s="41">
        <v>40.1</v>
      </c>
      <c r="D369" s="82" t="s">
        <v>1402</v>
      </c>
      <c r="E369" s="41" t="s">
        <v>158</v>
      </c>
      <c r="F369" s="253">
        <v>42</v>
      </c>
      <c r="G369" s="253">
        <v>43.18</v>
      </c>
      <c r="H369" s="41" t="s">
        <v>915</v>
      </c>
      <c r="I369" s="88" t="s">
        <v>930</v>
      </c>
      <c r="J369" s="283">
        <v>1975.2</v>
      </c>
      <c r="K369" s="284">
        <f t="shared" si="38"/>
        <v>1.0126343788097087</v>
      </c>
      <c r="L369" s="285">
        <f>$V$8</f>
        <v>1.2634378809708687E-2</v>
      </c>
      <c r="M369" s="283">
        <f t="shared" si="36"/>
        <v>2000.1554250249367</v>
      </c>
      <c r="N369" s="283" t="s">
        <v>961</v>
      </c>
      <c r="O369" s="253">
        <f t="shared" si="39"/>
        <v>2000.1554250249367</v>
      </c>
      <c r="P369" s="283" t="s">
        <v>918</v>
      </c>
      <c r="Q369" s="283">
        <f t="shared" si="41"/>
        <v>2360.1834015294253</v>
      </c>
      <c r="R369" s="283">
        <f t="shared" si="42"/>
        <v>2520.19583553142</v>
      </c>
      <c r="S369" s="33"/>
      <c r="T369" s="33"/>
    </row>
    <row r="370" spans="2:20" ht="25.5" customHeight="1" x14ac:dyDescent="0.25">
      <c r="B370" s="34">
        <v>363</v>
      </c>
      <c r="C370" s="41" t="s">
        <v>1403</v>
      </c>
      <c r="D370" s="85" t="s">
        <v>1404</v>
      </c>
      <c r="E370" s="88" t="s">
        <v>158</v>
      </c>
      <c r="F370" s="253">
        <v>35</v>
      </c>
      <c r="G370" s="253">
        <v>65.41</v>
      </c>
      <c r="H370" s="41" t="s">
        <v>924</v>
      </c>
      <c r="I370" s="88" t="s">
        <v>930</v>
      </c>
      <c r="J370" s="283">
        <v>2289.35</v>
      </c>
      <c r="K370" s="284">
        <f t="shared" si="38"/>
        <v>1</v>
      </c>
      <c r="L370" s="285">
        <v>0</v>
      </c>
      <c r="M370" s="283">
        <f t="shared" ref="M370:M432" si="44">J370*K370</f>
        <v>2289.35</v>
      </c>
      <c r="N370" s="283" t="str">
        <f>"Calculated ("&amp;F370&amp;" kg/"&amp;E370&amp;" @ INR "&amp;G370&amp;" per kg)"</f>
        <v>Calculated (35 kg/Set @ INR 65.41 per kg)</v>
      </c>
      <c r="O370" s="253">
        <f t="shared" si="39"/>
        <v>2289.35</v>
      </c>
      <c r="P370" s="283" t="s">
        <v>918</v>
      </c>
      <c r="Q370" s="283">
        <f t="shared" si="41"/>
        <v>2701.4329999999995</v>
      </c>
      <c r="R370" s="283">
        <f t="shared" si="42"/>
        <v>2884.5810000000001</v>
      </c>
      <c r="S370" s="33"/>
      <c r="T370" s="33"/>
    </row>
    <row r="371" spans="2:20" ht="15" customHeight="1" x14ac:dyDescent="0.25">
      <c r="B371" s="34">
        <v>364</v>
      </c>
      <c r="C371" s="72">
        <v>47.1</v>
      </c>
      <c r="D371" s="85" t="s">
        <v>1405</v>
      </c>
      <c r="E371" s="41" t="s">
        <v>158</v>
      </c>
      <c r="F371" s="253">
        <v>35</v>
      </c>
      <c r="G371" s="253">
        <v>46.62</v>
      </c>
      <c r="H371" s="41" t="s">
        <v>915</v>
      </c>
      <c r="I371" s="88" t="s">
        <v>930</v>
      </c>
      <c r="J371" s="283">
        <v>1524</v>
      </c>
      <c r="K371" s="284">
        <f t="shared" si="38"/>
        <v>1.0126343788097087</v>
      </c>
      <c r="L371" s="285">
        <f>$V$8</f>
        <v>1.2634378809708687E-2</v>
      </c>
      <c r="M371" s="283">
        <f t="shared" si="44"/>
        <v>1543.2547933059961</v>
      </c>
      <c r="N371" s="283" t="s">
        <v>956</v>
      </c>
      <c r="O371" s="253">
        <f t="shared" si="39"/>
        <v>1543.2547933059961</v>
      </c>
      <c r="P371" s="283" t="s">
        <v>918</v>
      </c>
      <c r="Q371" s="283">
        <f t="shared" si="41"/>
        <v>1821.0406561010755</v>
      </c>
      <c r="R371" s="283">
        <f t="shared" si="42"/>
        <v>1944.5010395655552</v>
      </c>
      <c r="S371" s="33"/>
      <c r="T371" s="33"/>
    </row>
    <row r="372" spans="2:20" ht="25.5" customHeight="1" x14ac:dyDescent="0.25">
      <c r="B372" s="34">
        <v>365</v>
      </c>
      <c r="C372" s="72" t="s">
        <v>1406</v>
      </c>
      <c r="D372" s="82" t="s">
        <v>1407</v>
      </c>
      <c r="E372" s="41" t="s">
        <v>316</v>
      </c>
      <c r="F372" s="253">
        <v>2.5</v>
      </c>
      <c r="G372" s="253">
        <v>65.41</v>
      </c>
      <c r="H372" s="41" t="s">
        <v>915</v>
      </c>
      <c r="I372" s="88" t="s">
        <v>930</v>
      </c>
      <c r="J372" s="283">
        <v>163.52499999999998</v>
      </c>
      <c r="K372" s="284">
        <f t="shared" si="38"/>
        <v>1</v>
      </c>
      <c r="L372" s="285">
        <v>0</v>
      </c>
      <c r="M372" s="283">
        <f t="shared" si="44"/>
        <v>163.52499999999998</v>
      </c>
      <c r="N372" s="283" t="s">
        <v>1324</v>
      </c>
      <c r="O372" s="253">
        <f t="shared" si="39"/>
        <v>163.52499999999998</v>
      </c>
      <c r="P372" s="283" t="s">
        <v>918</v>
      </c>
      <c r="Q372" s="283">
        <f t="shared" si="41"/>
        <v>192.95949999999996</v>
      </c>
      <c r="R372" s="283">
        <f t="shared" si="42"/>
        <v>206.04149999999998</v>
      </c>
      <c r="S372" s="33"/>
      <c r="T372" s="33"/>
    </row>
    <row r="373" spans="2:20" ht="25.5" customHeight="1" x14ac:dyDescent="0.25">
      <c r="B373" s="34">
        <v>366</v>
      </c>
      <c r="C373" s="72">
        <v>41.1</v>
      </c>
      <c r="D373" s="82" t="s">
        <v>1408</v>
      </c>
      <c r="E373" s="41" t="s">
        <v>316</v>
      </c>
      <c r="F373" s="253">
        <v>2.5</v>
      </c>
      <c r="G373" s="253">
        <v>47.59</v>
      </c>
      <c r="H373" s="41" t="s">
        <v>915</v>
      </c>
      <c r="I373" s="88" t="s">
        <v>930</v>
      </c>
      <c r="J373" s="283">
        <v>161.375</v>
      </c>
      <c r="K373" s="284">
        <f t="shared" si="38"/>
        <v>1.0126343788097087</v>
      </c>
      <c r="L373" s="285">
        <f>$V$8</f>
        <v>1.2634378809708687E-2</v>
      </c>
      <c r="M373" s="283">
        <f t="shared" si="44"/>
        <v>163.41387288041676</v>
      </c>
      <c r="N373" s="283" t="s">
        <v>1409</v>
      </c>
      <c r="O373" s="253">
        <f t="shared" si="39"/>
        <v>163.41387288041676</v>
      </c>
      <c r="P373" s="283" t="s">
        <v>918</v>
      </c>
      <c r="Q373" s="283">
        <f t="shared" si="41"/>
        <v>192.82836999889176</v>
      </c>
      <c r="R373" s="283">
        <f t="shared" si="42"/>
        <v>205.90147982932513</v>
      </c>
      <c r="S373" s="33"/>
      <c r="T373" s="33"/>
    </row>
    <row r="374" spans="2:20" ht="25.5" customHeight="1" x14ac:dyDescent="0.25">
      <c r="B374" s="34">
        <v>367</v>
      </c>
      <c r="C374" s="41" t="s">
        <v>1410</v>
      </c>
      <c r="D374" s="82" t="s">
        <v>1411</v>
      </c>
      <c r="E374" s="41" t="s">
        <v>316</v>
      </c>
      <c r="F374" s="253">
        <v>4.5999999999999996</v>
      </c>
      <c r="G374" s="253">
        <v>65.41</v>
      </c>
      <c r="H374" s="41" t="s">
        <v>924</v>
      </c>
      <c r="I374" s="88" t="s">
        <v>930</v>
      </c>
      <c r="J374" s="283">
        <v>300.88599999999997</v>
      </c>
      <c r="K374" s="284">
        <f t="shared" si="38"/>
        <v>1</v>
      </c>
      <c r="L374" s="285">
        <v>0</v>
      </c>
      <c r="M374" s="283">
        <f t="shared" si="44"/>
        <v>300.88599999999997</v>
      </c>
      <c r="N374" s="283" t="str">
        <f>"Calculated ("&amp;F374&amp;" kg/"&amp;E374&amp;" @ INR "&amp;G374&amp;" per kg)"</f>
        <v>Calculated (4.6 kg/Set of 2 Pair @ INR 65.41 per kg)</v>
      </c>
      <c r="O374" s="253">
        <f t="shared" si="39"/>
        <v>300.88599999999997</v>
      </c>
      <c r="P374" s="283" t="s">
        <v>918</v>
      </c>
      <c r="Q374" s="283">
        <f t="shared" si="41"/>
        <v>355.04547999999994</v>
      </c>
      <c r="R374" s="283">
        <f t="shared" si="42"/>
        <v>379.11635999999999</v>
      </c>
      <c r="S374" s="33"/>
      <c r="T374" s="33"/>
    </row>
    <row r="375" spans="2:20" ht="25.5" customHeight="1" x14ac:dyDescent="0.25">
      <c r="B375" s="34">
        <v>368</v>
      </c>
      <c r="C375" s="41" t="s">
        <v>1412</v>
      </c>
      <c r="D375" s="82" t="s">
        <v>1413</v>
      </c>
      <c r="E375" s="41" t="s">
        <v>316</v>
      </c>
      <c r="F375" s="253">
        <v>4.5999999999999996</v>
      </c>
      <c r="G375" s="253">
        <v>46.8</v>
      </c>
      <c r="H375" s="41" t="s">
        <v>924</v>
      </c>
      <c r="I375" s="88" t="s">
        <v>930</v>
      </c>
      <c r="J375" s="283">
        <v>215.27999999999997</v>
      </c>
      <c r="K375" s="284">
        <f t="shared" si="38"/>
        <v>1.0126343788097087</v>
      </c>
      <c r="L375" s="285">
        <f>$V$8</f>
        <v>1.2634378809708687E-2</v>
      </c>
      <c r="M375" s="283">
        <f t="shared" si="44"/>
        <v>217.99992907015408</v>
      </c>
      <c r="N375" s="283" t="str">
        <f>"Calculated ("&amp;F375&amp;" kg/"&amp;E375&amp;" @ INR "&amp;G375&amp;" per kg)"</f>
        <v>Calculated (4.6 kg/Set of 2 Pair @ INR 46.8 per kg)</v>
      </c>
      <c r="O375" s="253">
        <f t="shared" si="39"/>
        <v>217.99992907015408</v>
      </c>
      <c r="P375" s="283" t="s">
        <v>918</v>
      </c>
      <c r="Q375" s="283">
        <f t="shared" si="41"/>
        <v>257.23991630278181</v>
      </c>
      <c r="R375" s="283">
        <f t="shared" si="42"/>
        <v>274.67991062839417</v>
      </c>
      <c r="S375" s="33"/>
      <c r="T375" s="33"/>
    </row>
    <row r="376" spans="2:20" ht="25.5" customHeight="1" x14ac:dyDescent="0.25">
      <c r="B376" s="34">
        <v>369</v>
      </c>
      <c r="C376" s="72" t="s">
        <v>1414</v>
      </c>
      <c r="D376" s="85" t="s">
        <v>1415</v>
      </c>
      <c r="E376" s="41" t="s">
        <v>316</v>
      </c>
      <c r="F376" s="253">
        <v>4.4000000000000004</v>
      </c>
      <c r="G376" s="253">
        <v>65.41</v>
      </c>
      <c r="H376" s="41" t="s">
        <v>915</v>
      </c>
      <c r="I376" s="88" t="s">
        <v>930</v>
      </c>
      <c r="J376" s="283">
        <v>287.80400000000003</v>
      </c>
      <c r="K376" s="284">
        <f t="shared" ref="K376:K438" si="45">(1+L376)</f>
        <v>1</v>
      </c>
      <c r="L376" s="285">
        <v>0</v>
      </c>
      <c r="M376" s="283">
        <f t="shared" si="44"/>
        <v>287.80400000000003</v>
      </c>
      <c r="N376" s="283" t="s">
        <v>1324</v>
      </c>
      <c r="O376" s="253">
        <f t="shared" si="39"/>
        <v>287.80400000000003</v>
      </c>
      <c r="P376" s="283" t="s">
        <v>918</v>
      </c>
      <c r="Q376" s="283">
        <f t="shared" si="41"/>
        <v>339.60872000000001</v>
      </c>
      <c r="R376" s="283">
        <f t="shared" si="42"/>
        <v>362.63304000000005</v>
      </c>
      <c r="S376" s="33"/>
      <c r="T376" s="33"/>
    </row>
    <row r="377" spans="2:20" ht="25.5" customHeight="1" x14ac:dyDescent="0.25">
      <c r="B377" s="34">
        <v>370</v>
      </c>
      <c r="C377" s="72">
        <v>48.1</v>
      </c>
      <c r="D377" s="85" t="s">
        <v>1416</v>
      </c>
      <c r="E377" s="41" t="s">
        <v>316</v>
      </c>
      <c r="F377" s="253">
        <v>4.4000000000000004</v>
      </c>
      <c r="G377" s="253">
        <v>40.08</v>
      </c>
      <c r="H377" s="41" t="s">
        <v>915</v>
      </c>
      <c r="I377" s="88" t="s">
        <v>930</v>
      </c>
      <c r="J377" s="283">
        <v>174.68666666666664</v>
      </c>
      <c r="K377" s="284">
        <f t="shared" si="45"/>
        <v>1.0126343788097087</v>
      </c>
      <c r="L377" s="285">
        <f>$V$8</f>
        <v>1.2634378809708687E-2</v>
      </c>
      <c r="M377" s="283">
        <f t="shared" si="44"/>
        <v>176.89372418633863</v>
      </c>
      <c r="N377" s="283" t="s">
        <v>956</v>
      </c>
      <c r="O377" s="253">
        <f t="shared" si="39"/>
        <v>176.89372418633863</v>
      </c>
      <c r="P377" s="283" t="s">
        <v>918</v>
      </c>
      <c r="Q377" s="283">
        <f t="shared" si="41"/>
        <v>208.73459453987957</v>
      </c>
      <c r="R377" s="283">
        <f t="shared" si="42"/>
        <v>222.88609247478666</v>
      </c>
      <c r="S377" s="33"/>
      <c r="T377" s="33"/>
    </row>
    <row r="378" spans="2:20" ht="25.5" customHeight="1" x14ac:dyDescent="0.25">
      <c r="B378" s="34">
        <v>371</v>
      </c>
      <c r="C378" s="41" t="s">
        <v>1417</v>
      </c>
      <c r="D378" s="82" t="s">
        <v>1418</v>
      </c>
      <c r="E378" s="41" t="s">
        <v>316</v>
      </c>
      <c r="F378" s="253">
        <v>2.2000000000000002</v>
      </c>
      <c r="G378" s="253">
        <v>65.41</v>
      </c>
      <c r="H378" s="41" t="s">
        <v>924</v>
      </c>
      <c r="I378" s="88" t="s">
        <v>930</v>
      </c>
      <c r="J378" s="283">
        <v>143.90200000000002</v>
      </c>
      <c r="K378" s="284">
        <f t="shared" si="45"/>
        <v>1</v>
      </c>
      <c r="L378" s="285">
        <v>0</v>
      </c>
      <c r="M378" s="283">
        <f t="shared" si="44"/>
        <v>143.90200000000002</v>
      </c>
      <c r="N378" s="283" t="str">
        <f>"Calculated ("&amp;F378&amp;" kg/"&amp;E378&amp;" @ INR "&amp;G378&amp;" per kg)"</f>
        <v>Calculated (2.2 kg/Set of 2 Pair @ INR 65.41 per kg)</v>
      </c>
      <c r="O378" s="253">
        <f t="shared" si="39"/>
        <v>143.90200000000002</v>
      </c>
      <c r="P378" s="283" t="s">
        <v>918</v>
      </c>
      <c r="Q378" s="283">
        <f t="shared" si="41"/>
        <v>169.80436</v>
      </c>
      <c r="R378" s="283">
        <f t="shared" si="42"/>
        <v>181.31652000000003</v>
      </c>
      <c r="S378" s="33"/>
      <c r="T378" s="33"/>
    </row>
    <row r="379" spans="2:20" ht="25.5" customHeight="1" x14ac:dyDescent="0.25">
      <c r="B379" s="34">
        <v>372</v>
      </c>
      <c r="C379" s="41" t="s">
        <v>1419</v>
      </c>
      <c r="D379" s="82" t="s">
        <v>1420</v>
      </c>
      <c r="E379" s="41" t="s">
        <v>316</v>
      </c>
      <c r="F379" s="253">
        <v>2.2000000000000002</v>
      </c>
      <c r="G379" s="253">
        <v>46.8</v>
      </c>
      <c r="H379" s="41" t="s">
        <v>924</v>
      </c>
      <c r="I379" s="88" t="s">
        <v>930</v>
      </c>
      <c r="J379" s="283">
        <v>102.96000000000001</v>
      </c>
      <c r="K379" s="284">
        <f t="shared" si="45"/>
        <v>1.0126343788097087</v>
      </c>
      <c r="L379" s="285">
        <f>$V$8</f>
        <v>1.2634378809708687E-2</v>
      </c>
      <c r="M379" s="283">
        <f t="shared" si="44"/>
        <v>104.26083564224761</v>
      </c>
      <c r="N379" s="283" t="str">
        <f>"Calculated ("&amp;F379&amp;" kg/"&amp;E379&amp;" @ INR "&amp;G379&amp;" per kg)"</f>
        <v>Calculated (2.2 kg/Set of 2 Pair @ INR 46.8 per kg)</v>
      </c>
      <c r="O379" s="253">
        <f t="shared" ref="O379:O441" si="46">M379</f>
        <v>104.26083564224761</v>
      </c>
      <c r="P379" s="283" t="s">
        <v>918</v>
      </c>
      <c r="Q379" s="283">
        <f t="shared" si="41"/>
        <v>123.02778605785218</v>
      </c>
      <c r="R379" s="283">
        <f t="shared" si="42"/>
        <v>131.368652909232</v>
      </c>
      <c r="S379" s="33"/>
      <c r="T379" s="33"/>
    </row>
    <row r="380" spans="2:20" ht="25.5" customHeight="1" x14ac:dyDescent="0.25">
      <c r="B380" s="34">
        <v>373</v>
      </c>
      <c r="C380" s="41" t="s">
        <v>1421</v>
      </c>
      <c r="D380" s="82" t="s">
        <v>1422</v>
      </c>
      <c r="E380" s="88" t="s">
        <v>158</v>
      </c>
      <c r="F380" s="253">
        <v>2.8</v>
      </c>
      <c r="G380" s="253">
        <v>65.41</v>
      </c>
      <c r="H380" s="41" t="s">
        <v>915</v>
      </c>
      <c r="I380" s="88" t="s">
        <v>930</v>
      </c>
      <c r="J380" s="283">
        <v>183.15</v>
      </c>
      <c r="K380" s="284">
        <f t="shared" si="45"/>
        <v>1</v>
      </c>
      <c r="L380" s="285">
        <v>0</v>
      </c>
      <c r="M380" s="283">
        <f t="shared" si="44"/>
        <v>183.15</v>
      </c>
      <c r="N380" s="283" t="s">
        <v>1324</v>
      </c>
      <c r="O380" s="253">
        <f t="shared" si="46"/>
        <v>183.15</v>
      </c>
      <c r="P380" s="283" t="s">
        <v>918</v>
      </c>
      <c r="Q380" s="283">
        <f t="shared" si="41"/>
        <v>216.11699999999999</v>
      </c>
      <c r="R380" s="283">
        <f t="shared" si="42"/>
        <v>230.76900000000001</v>
      </c>
      <c r="S380" s="33"/>
      <c r="T380" s="33"/>
    </row>
    <row r="381" spans="2:20" ht="25.5" customHeight="1" x14ac:dyDescent="0.25">
      <c r="B381" s="34">
        <v>374</v>
      </c>
      <c r="C381" s="41" t="s">
        <v>1423</v>
      </c>
      <c r="D381" s="82" t="s">
        <v>1424</v>
      </c>
      <c r="E381" s="88" t="s">
        <v>158</v>
      </c>
      <c r="F381" s="253">
        <v>2.8</v>
      </c>
      <c r="G381" s="253">
        <v>46.8</v>
      </c>
      <c r="H381" s="41" t="s">
        <v>924</v>
      </c>
      <c r="I381" s="88" t="s">
        <v>930</v>
      </c>
      <c r="J381" s="283">
        <v>131.04</v>
      </c>
      <c r="K381" s="284">
        <f t="shared" si="45"/>
        <v>1.0126343788097087</v>
      </c>
      <c r="L381" s="285">
        <f>$V$8</f>
        <v>1.2634378809708687E-2</v>
      </c>
      <c r="M381" s="283">
        <f t="shared" si="44"/>
        <v>132.69560899922422</v>
      </c>
      <c r="N381" s="283" t="str">
        <f t="shared" ref="N381:N388" si="47">"Calculated ("&amp;F381&amp;" kg/"&amp;E381&amp;" @ INR "&amp;G381&amp;" per kg)"</f>
        <v>Calculated (2.8 kg/Set @ INR 46.8 per kg)</v>
      </c>
      <c r="O381" s="253">
        <f t="shared" si="46"/>
        <v>132.69560899922422</v>
      </c>
      <c r="P381" s="283" t="s">
        <v>918</v>
      </c>
      <c r="Q381" s="283">
        <f t="shared" si="41"/>
        <v>156.58081861908457</v>
      </c>
      <c r="R381" s="283">
        <f t="shared" si="42"/>
        <v>167.19646733902252</v>
      </c>
      <c r="S381" s="33"/>
      <c r="T381" s="33"/>
    </row>
    <row r="382" spans="2:20" ht="25.5" customHeight="1" x14ac:dyDescent="0.25">
      <c r="B382" s="34">
        <v>375</v>
      </c>
      <c r="C382" s="41" t="s">
        <v>1425</v>
      </c>
      <c r="D382" s="82" t="s">
        <v>1426</v>
      </c>
      <c r="E382" s="41" t="s">
        <v>158</v>
      </c>
      <c r="F382" s="253">
        <v>3</v>
      </c>
      <c r="G382" s="253">
        <v>65.41</v>
      </c>
      <c r="H382" s="41" t="s">
        <v>924</v>
      </c>
      <c r="I382" s="88" t="s">
        <v>930</v>
      </c>
      <c r="J382" s="283">
        <v>196.23</v>
      </c>
      <c r="K382" s="284">
        <f t="shared" si="45"/>
        <v>1</v>
      </c>
      <c r="L382" s="285">
        <v>0</v>
      </c>
      <c r="M382" s="283">
        <f t="shared" si="44"/>
        <v>196.23</v>
      </c>
      <c r="N382" s="283" t="str">
        <f t="shared" si="47"/>
        <v>Calculated (3 kg/Set @ INR 65.41 per kg)</v>
      </c>
      <c r="O382" s="253">
        <f t="shared" si="46"/>
        <v>196.23</v>
      </c>
      <c r="P382" s="283" t="s">
        <v>918</v>
      </c>
      <c r="Q382" s="283">
        <f t="shared" si="41"/>
        <v>231.55139999999997</v>
      </c>
      <c r="R382" s="283">
        <f t="shared" si="42"/>
        <v>247.24979999999999</v>
      </c>
      <c r="S382" s="33"/>
      <c r="T382" s="33"/>
    </row>
    <row r="383" spans="2:20" ht="25.5" customHeight="1" x14ac:dyDescent="0.25">
      <c r="B383" s="34">
        <v>376</v>
      </c>
      <c r="C383" s="41" t="s">
        <v>1427</v>
      </c>
      <c r="D383" s="82" t="s">
        <v>1428</v>
      </c>
      <c r="E383" s="41" t="s">
        <v>158</v>
      </c>
      <c r="F383" s="253">
        <v>3</v>
      </c>
      <c r="G383" s="253">
        <v>46.8</v>
      </c>
      <c r="H383" s="41" t="s">
        <v>924</v>
      </c>
      <c r="I383" s="88" t="s">
        <v>930</v>
      </c>
      <c r="J383" s="283">
        <v>140.39999999999998</v>
      </c>
      <c r="K383" s="284">
        <f t="shared" si="45"/>
        <v>1.0126343788097087</v>
      </c>
      <c r="L383" s="285">
        <f>$V$8</f>
        <v>1.2634378809708687E-2</v>
      </c>
      <c r="M383" s="283">
        <f t="shared" si="44"/>
        <v>142.17386678488307</v>
      </c>
      <c r="N383" s="283" t="str">
        <f t="shared" si="47"/>
        <v>Calculated (3 kg/Set @ INR 46.8 per kg)</v>
      </c>
      <c r="O383" s="253">
        <f t="shared" si="46"/>
        <v>142.17386678488307</v>
      </c>
      <c r="P383" s="283" t="s">
        <v>918</v>
      </c>
      <c r="Q383" s="283">
        <f t="shared" si="41"/>
        <v>167.76516280616201</v>
      </c>
      <c r="R383" s="283">
        <f t="shared" si="42"/>
        <v>179.13907214895266</v>
      </c>
      <c r="S383" s="33"/>
      <c r="T383" s="33"/>
    </row>
    <row r="384" spans="2:20" ht="25.5" customHeight="1" x14ac:dyDescent="0.25">
      <c r="B384" s="34">
        <v>377</v>
      </c>
      <c r="C384" s="41" t="s">
        <v>1429</v>
      </c>
      <c r="D384" s="82" t="s">
        <v>1430</v>
      </c>
      <c r="E384" s="41" t="s">
        <v>158</v>
      </c>
      <c r="F384" s="253">
        <v>2.6</v>
      </c>
      <c r="G384" s="253">
        <v>65.41</v>
      </c>
      <c r="H384" s="41" t="s">
        <v>924</v>
      </c>
      <c r="I384" s="88" t="s">
        <v>930</v>
      </c>
      <c r="J384" s="283">
        <v>170.066</v>
      </c>
      <c r="K384" s="284">
        <f t="shared" si="45"/>
        <v>1</v>
      </c>
      <c r="L384" s="285">
        <v>0</v>
      </c>
      <c r="M384" s="283">
        <f t="shared" si="44"/>
        <v>170.066</v>
      </c>
      <c r="N384" s="283" t="str">
        <f t="shared" si="47"/>
        <v>Calculated (2.6 kg/Set @ INR 65.41 per kg)</v>
      </c>
      <c r="O384" s="253">
        <f t="shared" si="46"/>
        <v>170.066</v>
      </c>
      <c r="P384" s="283" t="s">
        <v>918</v>
      </c>
      <c r="Q384" s="283">
        <f t="shared" si="41"/>
        <v>200.67787999999999</v>
      </c>
      <c r="R384" s="283">
        <f t="shared" si="42"/>
        <v>214.28316000000001</v>
      </c>
      <c r="S384" s="33"/>
      <c r="T384" s="33"/>
    </row>
    <row r="385" spans="2:20" ht="25.5" customHeight="1" x14ac:dyDescent="0.25">
      <c r="B385" s="34">
        <v>378</v>
      </c>
      <c r="C385" s="41" t="s">
        <v>1431</v>
      </c>
      <c r="D385" s="82" t="s">
        <v>1432</v>
      </c>
      <c r="E385" s="41" t="s">
        <v>158</v>
      </c>
      <c r="F385" s="253">
        <v>2.6</v>
      </c>
      <c r="G385" s="253">
        <v>46.8</v>
      </c>
      <c r="H385" s="41" t="s">
        <v>924</v>
      </c>
      <c r="I385" s="88" t="s">
        <v>930</v>
      </c>
      <c r="J385" s="283">
        <v>121.67999999999999</v>
      </c>
      <c r="K385" s="284">
        <f t="shared" si="45"/>
        <v>1.0126343788097087</v>
      </c>
      <c r="L385" s="285">
        <f>$V$8</f>
        <v>1.2634378809708687E-2</v>
      </c>
      <c r="M385" s="283">
        <f t="shared" si="44"/>
        <v>123.21735121356535</v>
      </c>
      <c r="N385" s="283" t="str">
        <f t="shared" si="47"/>
        <v>Calculated (2.6 kg/Set @ INR 46.8 per kg)</v>
      </c>
      <c r="O385" s="253">
        <f t="shared" si="46"/>
        <v>123.21735121356535</v>
      </c>
      <c r="P385" s="283" t="s">
        <v>918</v>
      </c>
      <c r="Q385" s="283">
        <f t="shared" si="41"/>
        <v>145.3964744320071</v>
      </c>
      <c r="R385" s="283">
        <f t="shared" si="42"/>
        <v>155.25386252909234</v>
      </c>
      <c r="S385" s="33"/>
      <c r="T385" s="33"/>
    </row>
    <row r="386" spans="2:20" ht="25.5" customHeight="1" x14ac:dyDescent="0.25">
      <c r="B386" s="34">
        <v>379</v>
      </c>
      <c r="C386" s="41" t="s">
        <v>1433</v>
      </c>
      <c r="D386" s="82" t="s">
        <v>1434</v>
      </c>
      <c r="E386" s="41" t="s">
        <v>158</v>
      </c>
      <c r="F386" s="253">
        <v>2.6</v>
      </c>
      <c r="G386" s="253">
        <v>65.41</v>
      </c>
      <c r="H386" s="41" t="s">
        <v>924</v>
      </c>
      <c r="I386" s="88" t="s">
        <v>930</v>
      </c>
      <c r="J386" s="283">
        <v>170.066</v>
      </c>
      <c r="K386" s="284">
        <f t="shared" si="45"/>
        <v>1</v>
      </c>
      <c r="L386" s="285">
        <v>0</v>
      </c>
      <c r="M386" s="283">
        <f t="shared" si="44"/>
        <v>170.066</v>
      </c>
      <c r="N386" s="283" t="str">
        <f t="shared" si="47"/>
        <v>Calculated (2.6 kg/Set @ INR 65.41 per kg)</v>
      </c>
      <c r="O386" s="253">
        <f t="shared" si="46"/>
        <v>170.066</v>
      </c>
      <c r="P386" s="283" t="s">
        <v>918</v>
      </c>
      <c r="Q386" s="283">
        <f t="shared" si="41"/>
        <v>200.67787999999999</v>
      </c>
      <c r="R386" s="283">
        <f t="shared" si="42"/>
        <v>214.28316000000001</v>
      </c>
      <c r="S386" s="33"/>
      <c r="T386" s="33"/>
    </row>
    <row r="387" spans="2:20" ht="25.5" customHeight="1" x14ac:dyDescent="0.25">
      <c r="B387" s="34">
        <v>380</v>
      </c>
      <c r="C387" s="41" t="s">
        <v>1435</v>
      </c>
      <c r="D387" s="82" t="s">
        <v>1436</v>
      </c>
      <c r="E387" s="41" t="s">
        <v>158</v>
      </c>
      <c r="F387" s="253">
        <v>2.6</v>
      </c>
      <c r="G387" s="253">
        <v>46.8</v>
      </c>
      <c r="H387" s="41" t="s">
        <v>924</v>
      </c>
      <c r="I387" s="88" t="s">
        <v>930</v>
      </c>
      <c r="J387" s="283">
        <v>121.67999999999999</v>
      </c>
      <c r="K387" s="284">
        <f t="shared" si="45"/>
        <v>1.0126343788097087</v>
      </c>
      <c r="L387" s="285">
        <f>$V$8</f>
        <v>1.2634378809708687E-2</v>
      </c>
      <c r="M387" s="283">
        <f t="shared" si="44"/>
        <v>123.21735121356535</v>
      </c>
      <c r="N387" s="283" t="str">
        <f t="shared" si="47"/>
        <v>Calculated (2.6 kg/Set @ INR 46.8 per kg)</v>
      </c>
      <c r="O387" s="253">
        <f t="shared" si="46"/>
        <v>123.21735121356535</v>
      </c>
      <c r="P387" s="283" t="s">
        <v>918</v>
      </c>
      <c r="Q387" s="283">
        <f t="shared" si="41"/>
        <v>145.3964744320071</v>
      </c>
      <c r="R387" s="283">
        <f t="shared" si="42"/>
        <v>155.25386252909234</v>
      </c>
      <c r="S387" s="33"/>
      <c r="T387" s="33"/>
    </row>
    <row r="388" spans="2:20" ht="25.5" customHeight="1" x14ac:dyDescent="0.25">
      <c r="B388" s="34">
        <v>381</v>
      </c>
      <c r="C388" s="41" t="s">
        <v>405</v>
      </c>
      <c r="D388" s="82" t="s">
        <v>1437</v>
      </c>
      <c r="E388" s="41" t="s">
        <v>158</v>
      </c>
      <c r="F388" s="253">
        <v>1.75</v>
      </c>
      <c r="G388" s="253">
        <v>65.41</v>
      </c>
      <c r="H388" s="41" t="s">
        <v>924</v>
      </c>
      <c r="I388" s="88" t="s">
        <v>930</v>
      </c>
      <c r="J388" s="283">
        <v>114.4675</v>
      </c>
      <c r="K388" s="284">
        <f t="shared" si="45"/>
        <v>1</v>
      </c>
      <c r="L388" s="285">
        <v>0</v>
      </c>
      <c r="M388" s="283">
        <f t="shared" si="44"/>
        <v>114.4675</v>
      </c>
      <c r="N388" s="283" t="str">
        <f t="shared" si="47"/>
        <v>Calculated (1.75 kg/Set @ INR 65.41 per kg)</v>
      </c>
      <c r="O388" s="253">
        <f t="shared" si="46"/>
        <v>114.4675</v>
      </c>
      <c r="P388" s="283" t="s">
        <v>918</v>
      </c>
      <c r="Q388" s="283">
        <f t="shared" si="41"/>
        <v>135.07165000000001</v>
      </c>
      <c r="R388" s="283">
        <f t="shared" si="42"/>
        <v>144.22905</v>
      </c>
      <c r="S388" s="33"/>
      <c r="T388" s="33"/>
    </row>
    <row r="389" spans="2:20" ht="25.5" customHeight="1" x14ac:dyDescent="0.25">
      <c r="B389" s="34">
        <v>382</v>
      </c>
      <c r="C389" s="72">
        <v>58.1</v>
      </c>
      <c r="D389" s="82" t="s">
        <v>1438</v>
      </c>
      <c r="E389" s="41" t="s">
        <v>158</v>
      </c>
      <c r="F389" s="253">
        <v>1.75</v>
      </c>
      <c r="G389" s="253">
        <v>47.59</v>
      </c>
      <c r="H389" s="41" t="s">
        <v>915</v>
      </c>
      <c r="I389" s="88" t="s">
        <v>930</v>
      </c>
      <c r="J389" s="283">
        <v>103.52500000000001</v>
      </c>
      <c r="K389" s="284">
        <f t="shared" si="45"/>
        <v>1.0126343788097087</v>
      </c>
      <c r="L389" s="285">
        <f>$V$8</f>
        <v>1.2634378809708687E-2</v>
      </c>
      <c r="M389" s="283">
        <f t="shared" si="44"/>
        <v>104.8329740662751</v>
      </c>
      <c r="N389" s="283" t="s">
        <v>931</v>
      </c>
      <c r="O389" s="253">
        <f t="shared" si="46"/>
        <v>104.8329740662751</v>
      </c>
      <c r="P389" s="283" t="s">
        <v>918</v>
      </c>
      <c r="Q389" s="283">
        <f t="shared" si="41"/>
        <v>123.70290939820461</v>
      </c>
      <c r="R389" s="283">
        <f t="shared" si="42"/>
        <v>132.08954732350662</v>
      </c>
      <c r="S389" s="33"/>
      <c r="T389" s="33"/>
    </row>
    <row r="390" spans="2:20" ht="25.5" customHeight="1" x14ac:dyDescent="0.25">
      <c r="B390" s="34">
        <v>383</v>
      </c>
      <c r="C390" s="41" t="s">
        <v>420</v>
      </c>
      <c r="D390" s="82" t="s">
        <v>1439</v>
      </c>
      <c r="E390" s="41" t="s">
        <v>158</v>
      </c>
      <c r="F390" s="253">
        <v>1.95</v>
      </c>
      <c r="G390" s="253">
        <v>65.41</v>
      </c>
      <c r="H390" s="41" t="s">
        <v>924</v>
      </c>
      <c r="I390" s="88" t="s">
        <v>930</v>
      </c>
      <c r="J390" s="283">
        <v>127.54949999999999</v>
      </c>
      <c r="K390" s="284">
        <f t="shared" si="45"/>
        <v>1</v>
      </c>
      <c r="L390" s="285">
        <v>0</v>
      </c>
      <c r="M390" s="283">
        <f t="shared" si="44"/>
        <v>127.54949999999999</v>
      </c>
      <c r="N390" s="283" t="str">
        <f>"Calculated ("&amp;F390&amp;" kg/"&amp;E390&amp;" @ INR "&amp;G390&amp;" per kg)"</f>
        <v>Calculated (1.95 kg/Set @ INR 65.41 per kg)</v>
      </c>
      <c r="O390" s="253">
        <f t="shared" si="46"/>
        <v>127.54949999999999</v>
      </c>
      <c r="P390" s="283" t="s">
        <v>918</v>
      </c>
      <c r="Q390" s="283">
        <f t="shared" si="41"/>
        <v>150.50841</v>
      </c>
      <c r="R390" s="283">
        <f t="shared" si="42"/>
        <v>160.71236999999999</v>
      </c>
      <c r="S390" s="33"/>
      <c r="T390" s="33"/>
    </row>
    <row r="391" spans="2:20" ht="25.5" customHeight="1" x14ac:dyDescent="0.25">
      <c r="B391" s="34">
        <v>384</v>
      </c>
      <c r="C391" s="72">
        <v>39.1</v>
      </c>
      <c r="D391" s="82" t="s">
        <v>1440</v>
      </c>
      <c r="E391" s="41" t="s">
        <v>158</v>
      </c>
      <c r="F391" s="253">
        <v>1.95</v>
      </c>
      <c r="G391" s="253">
        <v>46.74</v>
      </c>
      <c r="H391" s="41" t="s">
        <v>915</v>
      </c>
      <c r="I391" s="88" t="s">
        <v>930</v>
      </c>
      <c r="J391" s="283">
        <v>90.887500000000003</v>
      </c>
      <c r="K391" s="284">
        <f t="shared" si="45"/>
        <v>1.0126343788097087</v>
      </c>
      <c r="L391" s="285">
        <f>$V$8</f>
        <v>1.2634378809708687E-2</v>
      </c>
      <c r="M391" s="283">
        <f t="shared" si="44"/>
        <v>92.035807104067402</v>
      </c>
      <c r="N391" s="283" t="s">
        <v>961</v>
      </c>
      <c r="O391" s="253">
        <f t="shared" si="46"/>
        <v>92.035807104067402</v>
      </c>
      <c r="P391" s="283" t="s">
        <v>918</v>
      </c>
      <c r="Q391" s="283">
        <f t="shared" si="41"/>
        <v>108.60225238279953</v>
      </c>
      <c r="R391" s="283">
        <f t="shared" si="42"/>
        <v>115.96511695112493</v>
      </c>
      <c r="S391" s="33"/>
      <c r="T391" s="33"/>
    </row>
    <row r="392" spans="2:20" ht="25.5" customHeight="1" x14ac:dyDescent="0.25">
      <c r="B392" s="34">
        <v>385</v>
      </c>
      <c r="C392" s="41" t="s">
        <v>488</v>
      </c>
      <c r="D392" s="82" t="s">
        <v>489</v>
      </c>
      <c r="E392" s="41" t="s">
        <v>158</v>
      </c>
      <c r="F392" s="253">
        <v>1.65</v>
      </c>
      <c r="G392" s="253">
        <v>65.41</v>
      </c>
      <c r="H392" s="41" t="s">
        <v>924</v>
      </c>
      <c r="I392" s="88" t="s">
        <v>930</v>
      </c>
      <c r="J392" s="283">
        <v>107.92649999999999</v>
      </c>
      <c r="K392" s="284">
        <f t="shared" si="45"/>
        <v>1</v>
      </c>
      <c r="L392" s="285">
        <v>0</v>
      </c>
      <c r="M392" s="283">
        <f t="shared" si="44"/>
        <v>107.92649999999999</v>
      </c>
      <c r="N392" s="283" t="str">
        <f>"Calculated ("&amp;F392&amp;" kg/"&amp;E392&amp;" @ INR "&amp;G392&amp;" per kg)"</f>
        <v>Calculated (1.65 kg/Set @ INR 65.41 per kg)</v>
      </c>
      <c r="O392" s="253">
        <f t="shared" si="46"/>
        <v>107.92649999999999</v>
      </c>
      <c r="P392" s="283" t="s">
        <v>918</v>
      </c>
      <c r="Q392" s="283">
        <f t="shared" si="41"/>
        <v>127.35326999999998</v>
      </c>
      <c r="R392" s="283">
        <f t="shared" si="42"/>
        <v>135.98738999999998</v>
      </c>
      <c r="S392" s="33"/>
      <c r="T392" s="33"/>
    </row>
    <row r="393" spans="2:20" ht="25.5" customHeight="1" x14ac:dyDescent="0.25">
      <c r="B393" s="34">
        <v>386</v>
      </c>
      <c r="C393" s="41" t="s">
        <v>1441</v>
      </c>
      <c r="D393" s="82" t="s">
        <v>1442</v>
      </c>
      <c r="E393" s="41" t="s">
        <v>158</v>
      </c>
      <c r="F393" s="253">
        <v>1.65</v>
      </c>
      <c r="G393" s="253">
        <v>46.8</v>
      </c>
      <c r="H393" s="41" t="s">
        <v>924</v>
      </c>
      <c r="I393" s="88" t="s">
        <v>930</v>
      </c>
      <c r="J393" s="283">
        <v>77.219999999999985</v>
      </c>
      <c r="K393" s="284">
        <f t="shared" si="45"/>
        <v>1.0126343788097087</v>
      </c>
      <c r="L393" s="285">
        <f>$V$8</f>
        <v>1.2634378809708687E-2</v>
      </c>
      <c r="M393" s="283">
        <f t="shared" si="44"/>
        <v>78.195626731685692</v>
      </c>
      <c r="N393" s="283" t="str">
        <f>"Calculated ("&amp;F393&amp;" kg/"&amp;E393&amp;" @ INR "&amp;G393&amp;" per kg)"</f>
        <v>Calculated (1.65 kg/Set @ INR 46.8 per kg)</v>
      </c>
      <c r="O393" s="253">
        <f t="shared" si="46"/>
        <v>78.195626731685692</v>
      </c>
      <c r="P393" s="283" t="s">
        <v>918</v>
      </c>
      <c r="Q393" s="283">
        <f t="shared" si="41"/>
        <v>92.270839543389116</v>
      </c>
      <c r="R393" s="283">
        <f t="shared" si="42"/>
        <v>98.526489681923977</v>
      </c>
      <c r="S393" s="33"/>
      <c r="T393" s="33"/>
    </row>
    <row r="394" spans="2:20" ht="25.5" customHeight="1" x14ac:dyDescent="0.25">
      <c r="B394" s="34">
        <v>387</v>
      </c>
      <c r="C394" s="41" t="s">
        <v>1443</v>
      </c>
      <c r="D394" s="82" t="s">
        <v>1444</v>
      </c>
      <c r="E394" s="41" t="s">
        <v>158</v>
      </c>
      <c r="F394" s="253">
        <v>1.65</v>
      </c>
      <c r="G394" s="253">
        <v>65.41</v>
      </c>
      <c r="H394" s="41" t="s">
        <v>924</v>
      </c>
      <c r="I394" s="88" t="s">
        <v>930</v>
      </c>
      <c r="J394" s="283">
        <v>107.92649999999999</v>
      </c>
      <c r="K394" s="284">
        <f t="shared" si="45"/>
        <v>1</v>
      </c>
      <c r="L394" s="285">
        <v>0</v>
      </c>
      <c r="M394" s="283">
        <f t="shared" si="44"/>
        <v>107.92649999999999</v>
      </c>
      <c r="N394" s="283" t="str">
        <f>"Calculated ("&amp;F394&amp;" kg/"&amp;E394&amp;" @ INR "&amp;G394&amp;" per kg)"</f>
        <v>Calculated (1.65 kg/Set @ INR 65.41 per kg)</v>
      </c>
      <c r="O394" s="253">
        <f t="shared" si="46"/>
        <v>107.92649999999999</v>
      </c>
      <c r="P394" s="283" t="s">
        <v>918</v>
      </c>
      <c r="Q394" s="283">
        <f t="shared" si="41"/>
        <v>127.35326999999998</v>
      </c>
      <c r="R394" s="283">
        <f t="shared" si="42"/>
        <v>135.98738999999998</v>
      </c>
      <c r="S394" s="33"/>
      <c r="T394" s="33"/>
    </row>
    <row r="395" spans="2:20" ht="25.5" customHeight="1" x14ac:dyDescent="0.25">
      <c r="B395" s="34">
        <v>388</v>
      </c>
      <c r="C395" s="41">
        <v>50.1</v>
      </c>
      <c r="D395" s="82" t="s">
        <v>1445</v>
      </c>
      <c r="E395" s="41" t="s">
        <v>158</v>
      </c>
      <c r="F395" s="253">
        <v>1.65</v>
      </c>
      <c r="G395" s="253">
        <v>47.59</v>
      </c>
      <c r="H395" s="41" t="s">
        <v>915</v>
      </c>
      <c r="I395" s="88" t="s">
        <v>930</v>
      </c>
      <c r="J395" s="283">
        <v>77.75</v>
      </c>
      <c r="K395" s="284">
        <f t="shared" si="45"/>
        <v>1.0126343788097087</v>
      </c>
      <c r="L395" s="285">
        <f>$V$8</f>
        <v>1.2634378809708687E-2</v>
      </c>
      <c r="M395" s="283">
        <f t="shared" si="44"/>
        <v>78.732322952454851</v>
      </c>
      <c r="N395" s="283" t="s">
        <v>961</v>
      </c>
      <c r="O395" s="253">
        <f t="shared" si="46"/>
        <v>78.732322952454851</v>
      </c>
      <c r="P395" s="283" t="s">
        <v>918</v>
      </c>
      <c r="Q395" s="283">
        <f t="shared" si="41"/>
        <v>92.904141083896718</v>
      </c>
      <c r="R395" s="283">
        <f t="shared" si="42"/>
        <v>99.202726920093113</v>
      </c>
      <c r="S395" s="33"/>
      <c r="T395" s="33"/>
    </row>
    <row r="396" spans="2:20" ht="25.5" customHeight="1" x14ac:dyDescent="0.25">
      <c r="B396" s="34">
        <v>389</v>
      </c>
      <c r="C396" s="41" t="s">
        <v>468</v>
      </c>
      <c r="D396" s="82" t="s">
        <v>469</v>
      </c>
      <c r="E396" s="41" t="s">
        <v>286</v>
      </c>
      <c r="F396" s="253">
        <v>2.4</v>
      </c>
      <c r="G396" s="253">
        <v>65.41</v>
      </c>
      <c r="H396" s="41" t="s">
        <v>924</v>
      </c>
      <c r="I396" s="88" t="s">
        <v>930</v>
      </c>
      <c r="J396" s="283">
        <v>156.98399999999998</v>
      </c>
      <c r="K396" s="284">
        <f t="shared" si="45"/>
        <v>1</v>
      </c>
      <c r="L396" s="285">
        <v>0</v>
      </c>
      <c r="M396" s="283">
        <f t="shared" si="44"/>
        <v>156.98399999999998</v>
      </c>
      <c r="N396" s="283" t="str">
        <f>"Calculated ("&amp;F396&amp;" kg/"&amp;E396&amp;" @ INR "&amp;G396&amp;" per kg)"</f>
        <v>Calculated (2.4 kg/Mtrs. @ INR 65.41 per kg)</v>
      </c>
      <c r="O396" s="253">
        <f t="shared" si="46"/>
        <v>156.98399999999998</v>
      </c>
      <c r="P396" s="283" t="s">
        <v>918</v>
      </c>
      <c r="Q396" s="283">
        <f t="shared" si="41"/>
        <v>185.24111999999997</v>
      </c>
      <c r="R396" s="283">
        <f t="shared" si="42"/>
        <v>197.79983999999999</v>
      </c>
      <c r="S396" s="33"/>
      <c r="T396" s="33"/>
    </row>
    <row r="397" spans="2:20" ht="25.5" customHeight="1" x14ac:dyDescent="0.25">
      <c r="B397" s="34">
        <v>390</v>
      </c>
      <c r="C397" s="72">
        <v>12.1</v>
      </c>
      <c r="D397" s="82" t="s">
        <v>1446</v>
      </c>
      <c r="E397" s="41" t="s">
        <v>286</v>
      </c>
      <c r="F397" s="253">
        <v>2.4</v>
      </c>
      <c r="G397" s="253">
        <v>51.5</v>
      </c>
      <c r="H397" s="41" t="s">
        <v>915</v>
      </c>
      <c r="I397" s="88" t="s">
        <v>930</v>
      </c>
      <c r="J397" s="283">
        <v>117.89999999999999</v>
      </c>
      <c r="K397" s="284">
        <f t="shared" si="45"/>
        <v>1.0126343788097087</v>
      </c>
      <c r="L397" s="285">
        <f>$V$8</f>
        <v>1.2634378809708687E-2</v>
      </c>
      <c r="M397" s="283">
        <f t="shared" si="44"/>
        <v>119.38959326166466</v>
      </c>
      <c r="N397" s="283" t="s">
        <v>1286</v>
      </c>
      <c r="O397" s="253">
        <f t="shared" si="46"/>
        <v>119.38959326166466</v>
      </c>
      <c r="P397" s="283" t="s">
        <v>918</v>
      </c>
      <c r="Q397" s="283">
        <f t="shared" si="41"/>
        <v>140.87972004876428</v>
      </c>
      <c r="R397" s="283">
        <f t="shared" si="42"/>
        <v>150.43088750969747</v>
      </c>
      <c r="S397" s="33"/>
      <c r="T397" s="33"/>
    </row>
    <row r="398" spans="2:20" ht="25.5" customHeight="1" x14ac:dyDescent="0.25">
      <c r="B398" s="34">
        <v>391</v>
      </c>
      <c r="C398" s="41" t="s">
        <v>410</v>
      </c>
      <c r="D398" s="82" t="s">
        <v>428</v>
      </c>
      <c r="E398" s="41" t="s">
        <v>250</v>
      </c>
      <c r="F398" s="253">
        <f>0.8*2</f>
        <v>1.6</v>
      </c>
      <c r="G398" s="253">
        <v>65.41</v>
      </c>
      <c r="H398" s="41" t="s">
        <v>924</v>
      </c>
      <c r="I398" s="88" t="s">
        <v>930</v>
      </c>
      <c r="J398" s="283">
        <v>104.65600000000001</v>
      </c>
      <c r="K398" s="284">
        <f t="shared" si="45"/>
        <v>1</v>
      </c>
      <c r="L398" s="285">
        <v>0</v>
      </c>
      <c r="M398" s="283">
        <f t="shared" si="44"/>
        <v>104.65600000000001</v>
      </c>
      <c r="N398" s="283" t="str">
        <f>"Calculated ("&amp;F398&amp;" kg/"&amp;E398&amp;" @ INR "&amp;G398&amp;" per kg)"</f>
        <v>Calculated (1.6 kg/Pair @ INR 65.41 per kg)</v>
      </c>
      <c r="O398" s="253">
        <f t="shared" si="46"/>
        <v>104.65600000000001</v>
      </c>
      <c r="P398" s="283" t="s">
        <v>918</v>
      </c>
      <c r="Q398" s="283">
        <f t="shared" si="41"/>
        <v>123.49408</v>
      </c>
      <c r="R398" s="283">
        <f t="shared" si="42"/>
        <v>131.86656000000002</v>
      </c>
      <c r="S398" s="33"/>
      <c r="T398" s="33"/>
    </row>
    <row r="399" spans="2:20" ht="15" customHeight="1" x14ac:dyDescent="0.25">
      <c r="B399" s="34">
        <v>392</v>
      </c>
      <c r="C399" s="72">
        <v>38.1</v>
      </c>
      <c r="D399" s="82" t="s">
        <v>1447</v>
      </c>
      <c r="E399" s="41" t="s">
        <v>250</v>
      </c>
      <c r="F399" s="253">
        <f>0.8*2</f>
        <v>1.6</v>
      </c>
      <c r="G399" s="253">
        <v>46.8</v>
      </c>
      <c r="H399" s="41" t="s">
        <v>915</v>
      </c>
      <c r="I399" s="88" t="s">
        <v>930</v>
      </c>
      <c r="J399" s="283">
        <v>67.960000000000008</v>
      </c>
      <c r="K399" s="284">
        <f t="shared" si="45"/>
        <v>1.0126343788097087</v>
      </c>
      <c r="L399" s="285">
        <f>$V$8</f>
        <v>1.2634378809708687E-2</v>
      </c>
      <c r="M399" s="283">
        <f t="shared" si="44"/>
        <v>68.818632383907811</v>
      </c>
      <c r="N399" s="283" t="s">
        <v>931</v>
      </c>
      <c r="O399" s="253">
        <f t="shared" si="46"/>
        <v>68.818632383907811</v>
      </c>
      <c r="P399" s="283" t="s">
        <v>918</v>
      </c>
      <c r="Q399" s="283">
        <f t="shared" si="41"/>
        <v>81.205986213011215</v>
      </c>
      <c r="R399" s="283">
        <f t="shared" si="42"/>
        <v>86.711476803723841</v>
      </c>
      <c r="S399" s="33"/>
      <c r="T399" s="33"/>
    </row>
    <row r="400" spans="2:20" ht="25.5" customHeight="1" x14ac:dyDescent="0.25">
      <c r="B400" s="34">
        <v>393</v>
      </c>
      <c r="C400" s="41" t="s">
        <v>456</v>
      </c>
      <c r="D400" s="85" t="s">
        <v>484</v>
      </c>
      <c r="E400" s="41" t="s">
        <v>158</v>
      </c>
      <c r="F400" s="253">
        <v>18.739999999999998</v>
      </c>
      <c r="G400" s="253">
        <v>65.41</v>
      </c>
      <c r="H400" s="41" t="s">
        <v>924</v>
      </c>
      <c r="I400" s="88" t="s">
        <v>930</v>
      </c>
      <c r="J400" s="283">
        <v>1225.7833999999998</v>
      </c>
      <c r="K400" s="284">
        <f t="shared" si="45"/>
        <v>1</v>
      </c>
      <c r="L400" s="285">
        <v>0</v>
      </c>
      <c r="M400" s="283">
        <f t="shared" si="44"/>
        <v>1225.7833999999998</v>
      </c>
      <c r="N400" s="283" t="str">
        <f>"Calculated ("&amp;F400&amp;" kg/"&amp;E400&amp;" @ INR "&amp;G400&amp;" per kg)"</f>
        <v>Calculated (18.74 kg/Set @ INR 65.41 per kg)</v>
      </c>
      <c r="O400" s="253">
        <f t="shared" si="46"/>
        <v>1225.7833999999998</v>
      </c>
      <c r="P400" s="283" t="s">
        <v>918</v>
      </c>
      <c r="Q400" s="283">
        <f t="shared" si="41"/>
        <v>1446.4244119999996</v>
      </c>
      <c r="R400" s="283">
        <f t="shared" si="42"/>
        <v>1544.4870839999999</v>
      </c>
      <c r="S400" s="33"/>
      <c r="T400" s="33"/>
    </row>
    <row r="401" spans="2:20" ht="25.5" customHeight="1" x14ac:dyDescent="0.25">
      <c r="B401" s="34">
        <v>394</v>
      </c>
      <c r="C401" s="72">
        <v>11.1</v>
      </c>
      <c r="D401" s="82" t="s">
        <v>1448</v>
      </c>
      <c r="E401" s="41" t="s">
        <v>158</v>
      </c>
      <c r="F401" s="253">
        <v>18.739999999999998</v>
      </c>
      <c r="G401" s="253">
        <v>50.09</v>
      </c>
      <c r="H401" s="41" t="s">
        <v>915</v>
      </c>
      <c r="I401" s="88" t="s">
        <v>930</v>
      </c>
      <c r="J401" s="283">
        <v>790.25</v>
      </c>
      <c r="K401" s="284">
        <f t="shared" si="45"/>
        <v>1.0126343788097087</v>
      </c>
      <c r="L401" s="285">
        <f>$V$8</f>
        <v>1.2634378809708687E-2</v>
      </c>
      <c r="M401" s="283">
        <f t="shared" si="44"/>
        <v>800.23431785437231</v>
      </c>
      <c r="N401" s="283" t="s">
        <v>961</v>
      </c>
      <c r="O401" s="253">
        <f t="shared" si="46"/>
        <v>800.23431785437231</v>
      </c>
      <c r="P401" s="283" t="s">
        <v>918</v>
      </c>
      <c r="Q401" s="283">
        <f t="shared" si="41"/>
        <v>944.27649506815931</v>
      </c>
      <c r="R401" s="283">
        <f t="shared" si="42"/>
        <v>1008.2952404965091</v>
      </c>
      <c r="S401" s="33"/>
      <c r="T401" s="33"/>
    </row>
    <row r="402" spans="2:20" ht="25.5" customHeight="1" x14ac:dyDescent="0.25">
      <c r="B402" s="34">
        <v>395</v>
      </c>
      <c r="C402" s="41" t="s">
        <v>478</v>
      </c>
      <c r="D402" s="85" t="s">
        <v>479</v>
      </c>
      <c r="E402" s="41" t="s">
        <v>158</v>
      </c>
      <c r="F402" s="253">
        <v>3.75</v>
      </c>
      <c r="G402" s="253">
        <v>65.41</v>
      </c>
      <c r="H402" s="41" t="s">
        <v>924</v>
      </c>
      <c r="I402" s="88" t="s">
        <v>930</v>
      </c>
      <c r="J402" s="283">
        <v>245.28749999999999</v>
      </c>
      <c r="K402" s="284">
        <f t="shared" si="45"/>
        <v>1</v>
      </c>
      <c r="L402" s="285">
        <v>0</v>
      </c>
      <c r="M402" s="283">
        <f t="shared" si="44"/>
        <v>245.28749999999999</v>
      </c>
      <c r="N402" s="283" t="str">
        <f>"Calculated ("&amp;F402&amp;" kg/"&amp;E402&amp;" @ INR "&amp;G402&amp;" per kg)"</f>
        <v>Calculated (3.75 kg/Set @ INR 65.41 per kg)</v>
      </c>
      <c r="O402" s="253">
        <f t="shared" si="46"/>
        <v>245.28749999999999</v>
      </c>
      <c r="P402" s="283" t="s">
        <v>918</v>
      </c>
      <c r="Q402" s="283">
        <f t="shared" si="41"/>
        <v>289.43924999999996</v>
      </c>
      <c r="R402" s="283">
        <f t="shared" si="42"/>
        <v>309.06225000000001</v>
      </c>
      <c r="S402" s="33"/>
      <c r="T402" s="33"/>
    </row>
    <row r="403" spans="2:20" ht="15" customHeight="1" x14ac:dyDescent="0.25">
      <c r="B403" s="34">
        <v>396</v>
      </c>
      <c r="C403" s="72">
        <v>9.1</v>
      </c>
      <c r="D403" s="82" t="s">
        <v>1449</v>
      </c>
      <c r="E403" s="41" t="s">
        <v>158</v>
      </c>
      <c r="F403" s="253">
        <v>3.75</v>
      </c>
      <c r="G403" s="253">
        <v>48.61</v>
      </c>
      <c r="H403" s="41" t="s">
        <v>915</v>
      </c>
      <c r="I403" s="88" t="s">
        <v>930</v>
      </c>
      <c r="J403" s="283">
        <v>158.25</v>
      </c>
      <c r="K403" s="284">
        <f t="shared" si="45"/>
        <v>1.0126343788097087</v>
      </c>
      <c r="L403" s="285">
        <f>$V$8</f>
        <v>1.2634378809708687E-2</v>
      </c>
      <c r="M403" s="283">
        <f t="shared" si="44"/>
        <v>160.2493904466364</v>
      </c>
      <c r="N403" s="283" t="s">
        <v>961</v>
      </c>
      <c r="O403" s="253">
        <f t="shared" si="46"/>
        <v>160.2493904466364</v>
      </c>
      <c r="P403" s="283" t="s">
        <v>918</v>
      </c>
      <c r="Q403" s="283">
        <f t="shared" si="41"/>
        <v>189.09428072703093</v>
      </c>
      <c r="R403" s="283">
        <f t="shared" si="42"/>
        <v>201.91423196276187</v>
      </c>
      <c r="S403" s="33"/>
      <c r="T403" s="33"/>
    </row>
    <row r="404" spans="2:20" customFormat="1" ht="25.5" customHeight="1" x14ac:dyDescent="0.25">
      <c r="B404" s="34">
        <v>397</v>
      </c>
      <c r="C404" s="41" t="s">
        <v>1450</v>
      </c>
      <c r="D404" s="108" t="s">
        <v>1451</v>
      </c>
      <c r="E404" s="41" t="s">
        <v>157</v>
      </c>
      <c r="F404" s="253">
        <v>1</v>
      </c>
      <c r="G404" s="253">
        <v>65.41</v>
      </c>
      <c r="H404" s="41" t="s">
        <v>924</v>
      </c>
      <c r="I404" s="88" t="s">
        <v>930</v>
      </c>
      <c r="J404" s="283">
        <v>65.41</v>
      </c>
      <c r="K404" s="284">
        <f t="shared" si="45"/>
        <v>1</v>
      </c>
      <c r="L404" s="285">
        <v>0</v>
      </c>
      <c r="M404" s="283">
        <f t="shared" si="44"/>
        <v>65.41</v>
      </c>
      <c r="N404" s="283" t="str">
        <f>"Calculated ("&amp;F404&amp;" kg/"&amp;E404&amp;" @ INR "&amp;G404&amp;" per kg)"</f>
        <v>Calculated (1 kg/Nos. @ INR 65.41 per kg)</v>
      </c>
      <c r="O404" s="253">
        <f t="shared" si="46"/>
        <v>65.41</v>
      </c>
      <c r="P404" s="283" t="s">
        <v>918</v>
      </c>
      <c r="Q404" s="283">
        <f t="shared" si="41"/>
        <v>77.183799999999991</v>
      </c>
      <c r="R404" s="283">
        <f t="shared" si="42"/>
        <v>82.416600000000003</v>
      </c>
    </row>
    <row r="405" spans="2:20" customFormat="1" ht="25.5" customHeight="1" x14ac:dyDescent="0.25">
      <c r="B405" s="34">
        <v>398</v>
      </c>
      <c r="C405" s="41" t="s">
        <v>1452</v>
      </c>
      <c r="D405" s="108" t="s">
        <v>1453</v>
      </c>
      <c r="E405" s="41" t="s">
        <v>157</v>
      </c>
      <c r="F405" s="253">
        <v>1</v>
      </c>
      <c r="G405" s="253">
        <v>49.6</v>
      </c>
      <c r="H405" s="41" t="s">
        <v>924</v>
      </c>
      <c r="I405" s="88" t="s">
        <v>930</v>
      </c>
      <c r="J405" s="283">
        <v>49.6</v>
      </c>
      <c r="K405" s="284">
        <f t="shared" si="45"/>
        <v>1.0126343788097087</v>
      </c>
      <c r="L405" s="285">
        <f>$V$8</f>
        <v>1.2634378809708687E-2</v>
      </c>
      <c r="M405" s="283">
        <f t="shared" si="44"/>
        <v>50.226665188961555</v>
      </c>
      <c r="N405" s="283" t="str">
        <f>"Calculated ("&amp;F405&amp;" kg/"&amp;E405&amp;" @ INR "&amp;G405&amp;" per kg)"</f>
        <v>Calculated (1 kg/Nos. @ INR 49.6 per kg)</v>
      </c>
      <c r="O405" s="253">
        <f t="shared" si="46"/>
        <v>50.226665188961555</v>
      </c>
      <c r="P405" s="283" t="s">
        <v>918</v>
      </c>
      <c r="Q405" s="283">
        <f t="shared" si="41"/>
        <v>59.267464922974632</v>
      </c>
      <c r="R405" s="283">
        <f t="shared" si="42"/>
        <v>63.285598138091558</v>
      </c>
    </row>
    <row r="406" spans="2:20" ht="25.5" customHeight="1" x14ac:dyDescent="0.25">
      <c r="B406" s="34">
        <v>399</v>
      </c>
      <c r="C406" s="41" t="s">
        <v>482</v>
      </c>
      <c r="D406" s="82" t="s">
        <v>483</v>
      </c>
      <c r="E406" s="41" t="s">
        <v>250</v>
      </c>
      <c r="F406" s="253">
        <v>1</v>
      </c>
      <c r="G406" s="253">
        <v>65.41</v>
      </c>
      <c r="H406" s="41" t="s">
        <v>924</v>
      </c>
      <c r="I406" s="88" t="s">
        <v>930</v>
      </c>
      <c r="J406" s="283">
        <v>65.41</v>
      </c>
      <c r="K406" s="284">
        <f t="shared" si="45"/>
        <v>1</v>
      </c>
      <c r="L406" s="285">
        <v>0</v>
      </c>
      <c r="M406" s="283">
        <f t="shared" si="44"/>
        <v>65.41</v>
      </c>
      <c r="N406" s="283" t="str">
        <f>"Calculated ("&amp;F406&amp;" kg/"&amp;E406&amp;" @ INR "&amp;G406&amp;" per kg)"</f>
        <v>Calculated (1 kg/Pair @ INR 65.41 per kg)</v>
      </c>
      <c r="O406" s="253">
        <f t="shared" si="46"/>
        <v>65.41</v>
      </c>
      <c r="P406" s="283" t="s">
        <v>918</v>
      </c>
      <c r="Q406" s="283">
        <f t="shared" si="41"/>
        <v>77.183799999999991</v>
      </c>
      <c r="R406" s="283">
        <f t="shared" si="42"/>
        <v>82.416600000000003</v>
      </c>
      <c r="S406" s="33"/>
      <c r="T406" s="33"/>
    </row>
    <row r="407" spans="2:20" ht="15" customHeight="1" x14ac:dyDescent="0.25">
      <c r="B407" s="34">
        <v>400</v>
      </c>
      <c r="C407" s="72">
        <v>52.1</v>
      </c>
      <c r="D407" s="82" t="s">
        <v>1454</v>
      </c>
      <c r="E407" s="41" t="s">
        <v>250</v>
      </c>
      <c r="F407" s="253">
        <v>1</v>
      </c>
      <c r="G407" s="253">
        <v>48.6</v>
      </c>
      <c r="H407" s="41" t="s">
        <v>915</v>
      </c>
      <c r="I407" s="88" t="s">
        <v>930</v>
      </c>
      <c r="J407" s="283">
        <v>46.384</v>
      </c>
      <c r="K407" s="284">
        <f t="shared" si="45"/>
        <v>1.0126343788097087</v>
      </c>
      <c r="L407" s="285">
        <f>$V$8</f>
        <v>1.2634378809708687E-2</v>
      </c>
      <c r="M407" s="283">
        <f t="shared" si="44"/>
        <v>46.97003302670953</v>
      </c>
      <c r="N407" s="283" t="s">
        <v>955</v>
      </c>
      <c r="O407" s="253">
        <f t="shared" si="46"/>
        <v>46.97003302670953</v>
      </c>
      <c r="P407" s="283" t="s">
        <v>918</v>
      </c>
      <c r="Q407" s="283">
        <f t="shared" si="41"/>
        <v>55.42463897151724</v>
      </c>
      <c r="R407" s="283">
        <f t="shared" si="42"/>
        <v>59.182241613654007</v>
      </c>
      <c r="S407" s="33"/>
      <c r="T407" s="33"/>
    </row>
    <row r="408" spans="2:20" customFormat="1" ht="25.5" customHeight="1" x14ac:dyDescent="0.25">
      <c r="B408" s="34">
        <v>401</v>
      </c>
      <c r="C408" s="41" t="s">
        <v>480</v>
      </c>
      <c r="D408" s="82" t="s">
        <v>481</v>
      </c>
      <c r="E408" s="41" t="s">
        <v>157</v>
      </c>
      <c r="F408" s="253">
        <v>0.6</v>
      </c>
      <c r="G408" s="253">
        <v>65.41</v>
      </c>
      <c r="H408" s="41" t="s">
        <v>924</v>
      </c>
      <c r="I408" s="88" t="s">
        <v>930</v>
      </c>
      <c r="J408" s="283">
        <v>39.245999999999995</v>
      </c>
      <c r="K408" s="284">
        <f t="shared" si="45"/>
        <v>1</v>
      </c>
      <c r="L408" s="285">
        <v>0</v>
      </c>
      <c r="M408" s="283">
        <f t="shared" si="44"/>
        <v>39.245999999999995</v>
      </c>
      <c r="N408" s="283" t="str">
        <f>"Calculated ("&amp;F408&amp;" kg/"&amp;E408&amp;" @ INR "&amp;G408&amp;" per kg)"</f>
        <v>Calculated (0.6 kg/Nos. @ INR 65.41 per kg)</v>
      </c>
      <c r="O408" s="253">
        <f t="shared" si="46"/>
        <v>39.245999999999995</v>
      </c>
      <c r="P408" s="283" t="s">
        <v>918</v>
      </c>
      <c r="Q408" s="283">
        <f t="shared" si="41"/>
        <v>46.310279999999992</v>
      </c>
      <c r="R408" s="283">
        <f t="shared" si="42"/>
        <v>49.449959999999997</v>
      </c>
    </row>
    <row r="409" spans="2:20" ht="15" customHeight="1" x14ac:dyDescent="0.25">
      <c r="B409" s="34">
        <v>402</v>
      </c>
      <c r="C409" s="72">
        <v>51.1</v>
      </c>
      <c r="D409" s="82" t="s">
        <v>1455</v>
      </c>
      <c r="E409" s="41" t="s">
        <v>157</v>
      </c>
      <c r="F409" s="253">
        <v>0.6</v>
      </c>
      <c r="G409" s="253">
        <v>48.61</v>
      </c>
      <c r="H409" s="41" t="s">
        <v>915</v>
      </c>
      <c r="I409" s="88" t="s">
        <v>930</v>
      </c>
      <c r="J409" s="283">
        <v>39.333999999999996</v>
      </c>
      <c r="K409" s="284">
        <f t="shared" si="45"/>
        <v>1.0126343788097087</v>
      </c>
      <c r="L409" s="285">
        <f>$V$8</f>
        <v>1.2634378809708687E-2</v>
      </c>
      <c r="M409" s="283">
        <f t="shared" si="44"/>
        <v>39.830960656101077</v>
      </c>
      <c r="N409" s="283" t="s">
        <v>955</v>
      </c>
      <c r="O409" s="253">
        <f t="shared" si="46"/>
        <v>39.830960656101077</v>
      </c>
      <c r="P409" s="283" t="s">
        <v>918</v>
      </c>
      <c r="Q409" s="283">
        <f t="shared" si="41"/>
        <v>47.000533574199267</v>
      </c>
      <c r="R409" s="283">
        <f t="shared" si="42"/>
        <v>50.187010426687358</v>
      </c>
      <c r="S409" s="33"/>
      <c r="T409" s="33"/>
    </row>
    <row r="410" spans="2:20" customFormat="1" ht="25.5" customHeight="1" x14ac:dyDescent="0.25">
      <c r="B410" s="34">
        <v>403</v>
      </c>
      <c r="C410" s="84" t="s">
        <v>1456</v>
      </c>
      <c r="D410" s="251" t="s">
        <v>1457</v>
      </c>
      <c r="E410" s="41" t="s">
        <v>157</v>
      </c>
      <c r="F410" s="88"/>
      <c r="G410" s="88"/>
      <c r="H410" s="41" t="s">
        <v>924</v>
      </c>
      <c r="I410" s="252" t="s">
        <v>916</v>
      </c>
      <c r="J410" s="283">
        <v>1000</v>
      </c>
      <c r="K410" s="284">
        <f t="shared" si="45"/>
        <v>1</v>
      </c>
      <c r="L410" s="285">
        <v>0</v>
      </c>
      <c r="M410" s="283">
        <f t="shared" si="44"/>
        <v>1000</v>
      </c>
      <c r="N410" s="88" t="s">
        <v>1071</v>
      </c>
      <c r="O410" s="253">
        <f t="shared" si="46"/>
        <v>1000</v>
      </c>
      <c r="P410" s="283" t="s">
        <v>918</v>
      </c>
      <c r="Q410" s="283">
        <f t="shared" si="41"/>
        <v>1180</v>
      </c>
      <c r="R410" s="283">
        <f t="shared" si="42"/>
        <v>1260</v>
      </c>
      <c r="S410" s="259"/>
      <c r="T410" s="259">
        <f>COUNT(#REF!)</f>
        <v>0</v>
      </c>
    </row>
    <row r="411" spans="2:20" customFormat="1" ht="38.25" customHeight="1" x14ac:dyDescent="0.25">
      <c r="B411" s="34">
        <v>404</v>
      </c>
      <c r="C411" s="84" t="s">
        <v>1458</v>
      </c>
      <c r="D411" s="57" t="s">
        <v>1459</v>
      </c>
      <c r="E411" s="306" t="s">
        <v>286</v>
      </c>
      <c r="F411" s="41"/>
      <c r="G411" s="41"/>
      <c r="H411" s="41" t="s">
        <v>924</v>
      </c>
      <c r="I411" s="299" t="s">
        <v>916</v>
      </c>
      <c r="J411" s="283">
        <v>1403</v>
      </c>
      <c r="K411" s="284">
        <f t="shared" si="45"/>
        <v>1</v>
      </c>
      <c r="L411" s="285">
        <v>0</v>
      </c>
      <c r="M411" s="283">
        <f t="shared" si="44"/>
        <v>1403</v>
      </c>
      <c r="N411" s="89" t="s">
        <v>1460</v>
      </c>
      <c r="O411" s="253">
        <f t="shared" si="46"/>
        <v>1403</v>
      </c>
      <c r="P411" s="283" t="s">
        <v>918</v>
      </c>
      <c r="Q411" s="283">
        <f t="shared" si="41"/>
        <v>1655.54</v>
      </c>
      <c r="R411" s="283">
        <f t="shared" si="42"/>
        <v>1767.78</v>
      </c>
      <c r="S411" s="33"/>
    </row>
    <row r="412" spans="2:20" customFormat="1" ht="38.25" customHeight="1" x14ac:dyDescent="0.25">
      <c r="B412" s="34">
        <v>405</v>
      </c>
      <c r="C412" s="41" t="s">
        <v>581</v>
      </c>
      <c r="D412" s="57" t="s">
        <v>1461</v>
      </c>
      <c r="E412" s="306" t="s">
        <v>286</v>
      </c>
      <c r="F412" s="41"/>
      <c r="G412" s="41"/>
      <c r="H412" s="41" t="s">
        <v>924</v>
      </c>
      <c r="I412" s="299" t="s">
        <v>916</v>
      </c>
      <c r="J412" s="283">
        <v>1203</v>
      </c>
      <c r="K412" s="284">
        <f t="shared" si="45"/>
        <v>1</v>
      </c>
      <c r="L412" s="285">
        <v>0</v>
      </c>
      <c r="M412" s="283">
        <f t="shared" si="44"/>
        <v>1203</v>
      </c>
      <c r="N412" s="89" t="s">
        <v>1460</v>
      </c>
      <c r="O412" s="253">
        <f t="shared" si="46"/>
        <v>1203</v>
      </c>
      <c r="P412" s="283" t="s">
        <v>918</v>
      </c>
      <c r="Q412" s="283">
        <f t="shared" si="41"/>
        <v>1419.54</v>
      </c>
      <c r="R412" s="283">
        <f t="shared" si="42"/>
        <v>1515.78</v>
      </c>
      <c r="S412" s="33"/>
    </row>
    <row r="413" spans="2:20" customFormat="1" ht="38.25" customHeight="1" x14ac:dyDescent="0.25">
      <c r="B413" s="34">
        <v>406</v>
      </c>
      <c r="C413" s="84" t="s">
        <v>591</v>
      </c>
      <c r="D413" s="57" t="s">
        <v>592</v>
      </c>
      <c r="E413" s="89" t="s">
        <v>286</v>
      </c>
      <c r="F413" s="299"/>
      <c r="G413" s="299"/>
      <c r="H413" s="41" t="s">
        <v>924</v>
      </c>
      <c r="I413" s="299" t="s">
        <v>930</v>
      </c>
      <c r="J413" s="283">
        <v>944.6</v>
      </c>
      <c r="K413" s="284">
        <f t="shared" si="45"/>
        <v>1</v>
      </c>
      <c r="L413" s="285">
        <v>0</v>
      </c>
      <c r="M413" s="283">
        <f t="shared" si="44"/>
        <v>944.6</v>
      </c>
      <c r="N413" s="89" t="s">
        <v>1460</v>
      </c>
      <c r="O413" s="253">
        <f t="shared" si="46"/>
        <v>944.6</v>
      </c>
      <c r="P413" s="283" t="s">
        <v>918</v>
      </c>
      <c r="Q413" s="283">
        <f t="shared" si="41"/>
        <v>1114.6279999999999</v>
      </c>
      <c r="R413" s="283">
        <f t="shared" si="42"/>
        <v>1190.1960000000001</v>
      </c>
      <c r="S413" s="33"/>
    </row>
    <row r="414" spans="2:20" customFormat="1" ht="38.25" customHeight="1" x14ac:dyDescent="0.25">
      <c r="B414" s="34">
        <v>407</v>
      </c>
      <c r="C414" s="34" t="s">
        <v>1462</v>
      </c>
      <c r="D414" s="57" t="s">
        <v>1463</v>
      </c>
      <c r="E414" s="89" t="s">
        <v>286</v>
      </c>
      <c r="F414" s="299"/>
      <c r="G414" s="299"/>
      <c r="H414" s="41" t="s">
        <v>924</v>
      </c>
      <c r="I414" s="299" t="s">
        <v>930</v>
      </c>
      <c r="J414" s="283">
        <v>665.75</v>
      </c>
      <c r="K414" s="284">
        <f t="shared" si="45"/>
        <v>1</v>
      </c>
      <c r="L414" s="285">
        <v>0</v>
      </c>
      <c r="M414" s="283">
        <f t="shared" si="44"/>
        <v>665.75</v>
      </c>
      <c r="N414" s="89" t="s">
        <v>1460</v>
      </c>
      <c r="O414" s="253">
        <f t="shared" si="46"/>
        <v>665.75</v>
      </c>
      <c r="P414" s="283" t="s">
        <v>918</v>
      </c>
      <c r="Q414" s="283">
        <f t="shared" si="41"/>
        <v>785.58499999999992</v>
      </c>
      <c r="R414" s="283">
        <f t="shared" si="42"/>
        <v>838.84500000000003</v>
      </c>
      <c r="S414" s="33"/>
    </row>
    <row r="415" spans="2:20" ht="25.5" customHeight="1" x14ac:dyDescent="0.25">
      <c r="B415" s="34">
        <v>408</v>
      </c>
      <c r="C415" s="72">
        <v>146.1</v>
      </c>
      <c r="D415" s="251" t="s">
        <v>859</v>
      </c>
      <c r="E415" s="41" t="s">
        <v>158</v>
      </c>
      <c r="F415" s="41"/>
      <c r="G415" s="41"/>
      <c r="H415" s="41" t="s">
        <v>915</v>
      </c>
      <c r="I415" s="88" t="s">
        <v>930</v>
      </c>
      <c r="J415" s="283">
        <v>97068</v>
      </c>
      <c r="K415" s="284">
        <f t="shared" si="45"/>
        <v>1</v>
      </c>
      <c r="L415" s="285">
        <v>0</v>
      </c>
      <c r="M415" s="283">
        <f t="shared" si="44"/>
        <v>97068</v>
      </c>
      <c r="N415" s="89" t="s">
        <v>1464</v>
      </c>
      <c r="O415" s="253">
        <f t="shared" si="46"/>
        <v>97068</v>
      </c>
      <c r="P415" s="283" t="s">
        <v>918</v>
      </c>
      <c r="Q415" s="283">
        <f t="shared" ref="Q415:Q477" si="48">M415*1.18</f>
        <v>114540.23999999999</v>
      </c>
      <c r="R415" s="283">
        <f t="shared" ref="R415:R477" si="49">M415*1.26</f>
        <v>122305.68000000001</v>
      </c>
      <c r="S415" s="33"/>
      <c r="T415" s="33"/>
    </row>
    <row r="416" spans="2:20" ht="25.5" customHeight="1" x14ac:dyDescent="0.25">
      <c r="B416" s="34">
        <v>409</v>
      </c>
      <c r="C416" s="72" t="s">
        <v>575</v>
      </c>
      <c r="D416" s="251" t="s">
        <v>576</v>
      </c>
      <c r="E416" s="41" t="s">
        <v>158</v>
      </c>
      <c r="F416" s="41"/>
      <c r="G416" s="41"/>
      <c r="H416" s="41" t="s">
        <v>915</v>
      </c>
      <c r="I416" s="88" t="s">
        <v>930</v>
      </c>
      <c r="J416" s="283">
        <v>86681</v>
      </c>
      <c r="K416" s="284">
        <f t="shared" si="45"/>
        <v>1</v>
      </c>
      <c r="L416" s="285">
        <v>0</v>
      </c>
      <c r="M416" s="283">
        <f t="shared" si="44"/>
        <v>86681</v>
      </c>
      <c r="N416" s="89" t="s">
        <v>1464</v>
      </c>
      <c r="O416" s="253">
        <f t="shared" si="46"/>
        <v>86681</v>
      </c>
      <c r="P416" s="283" t="s">
        <v>918</v>
      </c>
      <c r="Q416" s="283">
        <f t="shared" si="48"/>
        <v>102283.58</v>
      </c>
      <c r="R416" s="283">
        <f t="shared" si="49"/>
        <v>109218.06</v>
      </c>
      <c r="S416" s="33"/>
      <c r="T416" s="33"/>
    </row>
    <row r="417" spans="2:20" ht="25.5" customHeight="1" x14ac:dyDescent="0.25">
      <c r="B417" s="34">
        <v>410</v>
      </c>
      <c r="C417" s="41" t="s">
        <v>1465</v>
      </c>
      <c r="D417" s="251" t="s">
        <v>1466</v>
      </c>
      <c r="E417" s="41" t="s">
        <v>158</v>
      </c>
      <c r="F417" s="41"/>
      <c r="G417" s="41"/>
      <c r="H417" s="41" t="s">
        <v>924</v>
      </c>
      <c r="I417" s="88" t="s">
        <v>930</v>
      </c>
      <c r="J417" s="283">
        <v>86681</v>
      </c>
      <c r="K417" s="284">
        <f t="shared" si="45"/>
        <v>1</v>
      </c>
      <c r="L417" s="285">
        <v>0</v>
      </c>
      <c r="M417" s="283">
        <f t="shared" si="44"/>
        <v>86681</v>
      </c>
      <c r="N417" s="89" t="s">
        <v>1464</v>
      </c>
      <c r="O417" s="253">
        <f t="shared" si="46"/>
        <v>86681</v>
      </c>
      <c r="P417" s="283" t="s">
        <v>918</v>
      </c>
      <c r="Q417" s="283">
        <f t="shared" si="48"/>
        <v>102283.58</v>
      </c>
      <c r="R417" s="283">
        <f t="shared" si="49"/>
        <v>109218.06</v>
      </c>
      <c r="S417" s="33"/>
      <c r="T417" s="33"/>
    </row>
    <row r="418" spans="2:20" ht="25.5" customHeight="1" x14ac:dyDescent="0.25">
      <c r="B418" s="34">
        <v>411</v>
      </c>
      <c r="C418" s="72" t="s">
        <v>585</v>
      </c>
      <c r="D418" s="251" t="s">
        <v>586</v>
      </c>
      <c r="E418" s="41" t="s">
        <v>158</v>
      </c>
      <c r="F418" s="41"/>
      <c r="G418" s="41"/>
      <c r="H418" s="41" t="s">
        <v>924</v>
      </c>
      <c r="I418" s="88" t="s">
        <v>930</v>
      </c>
      <c r="J418" s="283">
        <v>86681</v>
      </c>
      <c r="K418" s="284">
        <f t="shared" si="45"/>
        <v>1</v>
      </c>
      <c r="L418" s="285">
        <v>0</v>
      </c>
      <c r="M418" s="283">
        <f t="shared" si="44"/>
        <v>86681</v>
      </c>
      <c r="N418" s="89" t="s">
        <v>1464</v>
      </c>
      <c r="O418" s="253">
        <f t="shared" si="46"/>
        <v>86681</v>
      </c>
      <c r="P418" s="283" t="s">
        <v>918</v>
      </c>
      <c r="Q418" s="283">
        <f t="shared" si="48"/>
        <v>102283.58</v>
      </c>
      <c r="R418" s="283">
        <f t="shared" si="49"/>
        <v>109218.06</v>
      </c>
      <c r="S418" s="33"/>
      <c r="T418" s="33"/>
    </row>
    <row r="419" spans="2:20" ht="25.5" customHeight="1" x14ac:dyDescent="0.25">
      <c r="B419" s="34">
        <v>412</v>
      </c>
      <c r="C419" s="72" t="s">
        <v>1467</v>
      </c>
      <c r="D419" s="251" t="s">
        <v>1468</v>
      </c>
      <c r="E419" s="41" t="s">
        <v>158</v>
      </c>
      <c r="F419" s="41"/>
      <c r="G419" s="41"/>
      <c r="H419" s="41" t="s">
        <v>924</v>
      </c>
      <c r="I419" s="88" t="s">
        <v>930</v>
      </c>
      <c r="J419" s="283">
        <v>62391</v>
      </c>
      <c r="K419" s="284">
        <f t="shared" si="45"/>
        <v>1</v>
      </c>
      <c r="L419" s="285">
        <v>0</v>
      </c>
      <c r="M419" s="283">
        <f t="shared" si="44"/>
        <v>62391</v>
      </c>
      <c r="N419" s="89" t="s">
        <v>1464</v>
      </c>
      <c r="O419" s="253">
        <f t="shared" si="46"/>
        <v>62391</v>
      </c>
      <c r="P419" s="283" t="s">
        <v>918</v>
      </c>
      <c r="Q419" s="283">
        <f t="shared" si="48"/>
        <v>73621.37999999999</v>
      </c>
      <c r="R419" s="283">
        <f t="shared" si="49"/>
        <v>78612.66</v>
      </c>
      <c r="S419" s="33"/>
      <c r="T419" s="33"/>
    </row>
    <row r="420" spans="2:20" ht="25.5" customHeight="1" x14ac:dyDescent="0.25">
      <c r="B420" s="34">
        <v>413</v>
      </c>
      <c r="C420" s="41" t="s">
        <v>1469</v>
      </c>
      <c r="D420" s="251" t="s">
        <v>1470</v>
      </c>
      <c r="E420" s="41" t="s">
        <v>158</v>
      </c>
      <c r="F420" s="41"/>
      <c r="G420" s="41"/>
      <c r="H420" s="41" t="s">
        <v>924</v>
      </c>
      <c r="I420" s="88" t="s">
        <v>930</v>
      </c>
      <c r="J420" s="283">
        <v>49371</v>
      </c>
      <c r="K420" s="284">
        <f t="shared" si="45"/>
        <v>1</v>
      </c>
      <c r="L420" s="285">
        <v>0</v>
      </c>
      <c r="M420" s="283">
        <f t="shared" si="44"/>
        <v>49371</v>
      </c>
      <c r="N420" s="89" t="s">
        <v>1464</v>
      </c>
      <c r="O420" s="253">
        <f t="shared" si="46"/>
        <v>49371</v>
      </c>
      <c r="P420" s="283" t="s">
        <v>918</v>
      </c>
      <c r="Q420" s="283">
        <f t="shared" si="48"/>
        <v>58257.78</v>
      </c>
      <c r="R420" s="283">
        <f t="shared" si="49"/>
        <v>62207.46</v>
      </c>
      <c r="S420" s="33"/>
      <c r="T420" s="33"/>
    </row>
    <row r="421" spans="2:20" ht="25.5" customHeight="1" x14ac:dyDescent="0.25">
      <c r="B421" s="34">
        <v>414</v>
      </c>
      <c r="C421" s="72">
        <v>144.1</v>
      </c>
      <c r="D421" s="251" t="s">
        <v>885</v>
      </c>
      <c r="E421" s="41" t="s">
        <v>158</v>
      </c>
      <c r="F421" s="41"/>
      <c r="G421" s="41"/>
      <c r="H421" s="41" t="s">
        <v>915</v>
      </c>
      <c r="I421" s="88" t="s">
        <v>930</v>
      </c>
      <c r="J421" s="283">
        <v>45347</v>
      </c>
      <c r="K421" s="284">
        <f t="shared" si="45"/>
        <v>1</v>
      </c>
      <c r="L421" s="285">
        <v>0</v>
      </c>
      <c r="M421" s="283">
        <f t="shared" si="44"/>
        <v>45347</v>
      </c>
      <c r="N421" s="89" t="s">
        <v>1464</v>
      </c>
      <c r="O421" s="253">
        <f t="shared" si="46"/>
        <v>45347</v>
      </c>
      <c r="P421" s="283" t="s">
        <v>918</v>
      </c>
      <c r="Q421" s="283">
        <f t="shared" si="48"/>
        <v>53509.46</v>
      </c>
      <c r="R421" s="283">
        <f t="shared" si="49"/>
        <v>57137.22</v>
      </c>
      <c r="S421" s="33"/>
      <c r="T421" s="33"/>
    </row>
    <row r="422" spans="2:20" ht="25.5" customHeight="1" x14ac:dyDescent="0.25">
      <c r="B422" s="34">
        <v>415</v>
      </c>
      <c r="C422" s="72" t="s">
        <v>579</v>
      </c>
      <c r="D422" s="251" t="s">
        <v>580</v>
      </c>
      <c r="E422" s="41" t="s">
        <v>158</v>
      </c>
      <c r="F422" s="41"/>
      <c r="G422" s="41"/>
      <c r="H422" s="41" t="s">
        <v>915</v>
      </c>
      <c r="I422" s="88" t="s">
        <v>930</v>
      </c>
      <c r="J422" s="283">
        <v>45347</v>
      </c>
      <c r="K422" s="284">
        <f t="shared" si="45"/>
        <v>1</v>
      </c>
      <c r="L422" s="285">
        <v>0</v>
      </c>
      <c r="M422" s="283">
        <f t="shared" si="44"/>
        <v>45347</v>
      </c>
      <c r="N422" s="89" t="s">
        <v>1464</v>
      </c>
      <c r="O422" s="253">
        <f t="shared" si="46"/>
        <v>45347</v>
      </c>
      <c r="P422" s="283" t="s">
        <v>918</v>
      </c>
      <c r="Q422" s="283">
        <f t="shared" si="48"/>
        <v>53509.46</v>
      </c>
      <c r="R422" s="283">
        <f t="shared" si="49"/>
        <v>57137.22</v>
      </c>
      <c r="S422" s="33"/>
      <c r="T422" s="33"/>
    </row>
    <row r="423" spans="2:20" ht="25.5" customHeight="1" x14ac:dyDescent="0.25">
      <c r="B423" s="34">
        <v>416</v>
      </c>
      <c r="C423" s="41" t="s">
        <v>1471</v>
      </c>
      <c r="D423" s="251" t="s">
        <v>1472</v>
      </c>
      <c r="E423" s="41" t="s">
        <v>158</v>
      </c>
      <c r="F423" s="41"/>
      <c r="G423" s="41"/>
      <c r="H423" s="41" t="s">
        <v>924</v>
      </c>
      <c r="I423" s="88" t="s">
        <v>930</v>
      </c>
      <c r="J423" s="283">
        <v>45347</v>
      </c>
      <c r="K423" s="284">
        <f t="shared" si="45"/>
        <v>1</v>
      </c>
      <c r="L423" s="285">
        <v>0</v>
      </c>
      <c r="M423" s="283">
        <f t="shared" si="44"/>
        <v>45347</v>
      </c>
      <c r="N423" s="89" t="s">
        <v>1464</v>
      </c>
      <c r="O423" s="253">
        <f t="shared" si="46"/>
        <v>45347</v>
      </c>
      <c r="P423" s="283" t="s">
        <v>918</v>
      </c>
      <c r="Q423" s="283">
        <f t="shared" si="48"/>
        <v>53509.46</v>
      </c>
      <c r="R423" s="283">
        <f t="shared" si="49"/>
        <v>57137.22</v>
      </c>
      <c r="S423" s="33"/>
      <c r="T423" s="33"/>
    </row>
    <row r="424" spans="2:20" ht="25.5" customHeight="1" x14ac:dyDescent="0.25">
      <c r="B424" s="34">
        <v>417</v>
      </c>
      <c r="C424" s="41" t="s">
        <v>589</v>
      </c>
      <c r="D424" s="251" t="s">
        <v>590</v>
      </c>
      <c r="E424" s="41" t="s">
        <v>158</v>
      </c>
      <c r="F424" s="41"/>
      <c r="G424" s="41"/>
      <c r="H424" s="41" t="s">
        <v>924</v>
      </c>
      <c r="I424" s="88" t="s">
        <v>930</v>
      </c>
      <c r="J424" s="283">
        <v>34261</v>
      </c>
      <c r="K424" s="284">
        <f t="shared" si="45"/>
        <v>1</v>
      </c>
      <c r="L424" s="285">
        <v>0</v>
      </c>
      <c r="M424" s="283">
        <f t="shared" si="44"/>
        <v>34261</v>
      </c>
      <c r="N424" s="89" t="s">
        <v>1464</v>
      </c>
      <c r="O424" s="253">
        <f t="shared" si="46"/>
        <v>34261</v>
      </c>
      <c r="P424" s="283" t="s">
        <v>918</v>
      </c>
      <c r="Q424" s="283">
        <f t="shared" si="48"/>
        <v>40427.979999999996</v>
      </c>
      <c r="R424" s="283">
        <f t="shared" si="49"/>
        <v>43168.86</v>
      </c>
      <c r="S424" s="33"/>
      <c r="T424" s="33"/>
    </row>
    <row r="425" spans="2:20" ht="25.5" customHeight="1" x14ac:dyDescent="0.25">
      <c r="B425" s="34">
        <v>418</v>
      </c>
      <c r="C425" s="41" t="s">
        <v>1473</v>
      </c>
      <c r="D425" s="251" t="s">
        <v>1474</v>
      </c>
      <c r="E425" s="41" t="s">
        <v>158</v>
      </c>
      <c r="F425" s="41"/>
      <c r="G425" s="41"/>
      <c r="H425" s="41" t="s">
        <v>924</v>
      </c>
      <c r="I425" s="88" t="s">
        <v>930</v>
      </c>
      <c r="J425" s="283">
        <v>34261</v>
      </c>
      <c r="K425" s="284">
        <f t="shared" si="45"/>
        <v>1</v>
      </c>
      <c r="L425" s="285">
        <v>0</v>
      </c>
      <c r="M425" s="283">
        <f t="shared" si="44"/>
        <v>34261</v>
      </c>
      <c r="N425" s="89" t="s">
        <v>1464</v>
      </c>
      <c r="O425" s="253">
        <f t="shared" si="46"/>
        <v>34261</v>
      </c>
      <c r="P425" s="283" t="s">
        <v>918</v>
      </c>
      <c r="Q425" s="283">
        <f t="shared" si="48"/>
        <v>40427.979999999996</v>
      </c>
      <c r="R425" s="283">
        <f t="shared" si="49"/>
        <v>43168.86</v>
      </c>
      <c r="S425" s="33"/>
      <c r="T425" s="33"/>
    </row>
    <row r="426" spans="2:20" ht="25.5" customHeight="1" x14ac:dyDescent="0.25">
      <c r="B426" s="34">
        <v>419</v>
      </c>
      <c r="C426" s="41" t="s">
        <v>1475</v>
      </c>
      <c r="D426" s="251" t="s">
        <v>1476</v>
      </c>
      <c r="E426" s="41" t="s">
        <v>158</v>
      </c>
      <c r="F426" s="41"/>
      <c r="G426" s="41"/>
      <c r="H426" s="41" t="s">
        <v>924</v>
      </c>
      <c r="I426" s="88" t="s">
        <v>930</v>
      </c>
      <c r="J426" s="283">
        <v>26433</v>
      </c>
      <c r="K426" s="284">
        <f t="shared" si="45"/>
        <v>1</v>
      </c>
      <c r="L426" s="285">
        <v>0</v>
      </c>
      <c r="M426" s="283">
        <f t="shared" si="44"/>
        <v>26433</v>
      </c>
      <c r="N426" s="89" t="s">
        <v>1464</v>
      </c>
      <c r="O426" s="253">
        <f t="shared" si="46"/>
        <v>26433</v>
      </c>
      <c r="P426" s="283" t="s">
        <v>918</v>
      </c>
      <c r="Q426" s="283">
        <f t="shared" si="48"/>
        <v>31190.94</v>
      </c>
      <c r="R426" s="283">
        <f t="shared" si="49"/>
        <v>33305.58</v>
      </c>
      <c r="S426" s="33"/>
      <c r="T426" s="33"/>
    </row>
    <row r="427" spans="2:20" ht="25.5" customHeight="1" x14ac:dyDescent="0.25">
      <c r="B427" s="34">
        <v>420</v>
      </c>
      <c r="C427" s="41" t="s">
        <v>1477</v>
      </c>
      <c r="D427" s="251" t="s">
        <v>1478</v>
      </c>
      <c r="E427" s="41" t="s">
        <v>158</v>
      </c>
      <c r="F427" s="41"/>
      <c r="G427" s="41"/>
      <c r="H427" s="41" t="s">
        <v>924</v>
      </c>
      <c r="I427" s="88" t="s">
        <v>930</v>
      </c>
      <c r="J427" s="283">
        <v>21261</v>
      </c>
      <c r="K427" s="284">
        <f t="shared" si="45"/>
        <v>1</v>
      </c>
      <c r="L427" s="285">
        <v>0</v>
      </c>
      <c r="M427" s="283">
        <f t="shared" si="44"/>
        <v>21261</v>
      </c>
      <c r="N427" s="89" t="s">
        <v>1464</v>
      </c>
      <c r="O427" s="253">
        <f t="shared" si="46"/>
        <v>21261</v>
      </c>
      <c r="P427" s="283" t="s">
        <v>918</v>
      </c>
      <c r="Q427" s="283">
        <f t="shared" si="48"/>
        <v>25087.98</v>
      </c>
      <c r="R427" s="283">
        <f t="shared" si="49"/>
        <v>26788.86</v>
      </c>
      <c r="S427" s="33"/>
      <c r="T427" s="33"/>
    </row>
    <row r="428" spans="2:20" ht="25.5" customHeight="1" x14ac:dyDescent="0.25">
      <c r="B428" s="34">
        <v>421</v>
      </c>
      <c r="C428" s="72">
        <v>145.1</v>
      </c>
      <c r="D428" s="251" t="s">
        <v>884</v>
      </c>
      <c r="E428" s="41" t="s">
        <v>158</v>
      </c>
      <c r="F428" s="41"/>
      <c r="G428" s="41"/>
      <c r="H428" s="41" t="s">
        <v>915</v>
      </c>
      <c r="I428" s="88" t="s">
        <v>930</v>
      </c>
      <c r="J428" s="283">
        <v>28216</v>
      </c>
      <c r="K428" s="284">
        <f t="shared" si="45"/>
        <v>1</v>
      </c>
      <c r="L428" s="285">
        <v>0</v>
      </c>
      <c r="M428" s="283">
        <f t="shared" si="44"/>
        <v>28216</v>
      </c>
      <c r="N428" s="89" t="s">
        <v>1464</v>
      </c>
      <c r="O428" s="253">
        <f t="shared" si="46"/>
        <v>28216</v>
      </c>
      <c r="P428" s="283" t="s">
        <v>918</v>
      </c>
      <c r="Q428" s="283">
        <f t="shared" si="48"/>
        <v>33294.879999999997</v>
      </c>
      <c r="R428" s="283">
        <f t="shared" si="49"/>
        <v>35552.160000000003</v>
      </c>
      <c r="S428" s="33"/>
      <c r="T428" s="33"/>
    </row>
    <row r="429" spans="2:20" ht="25.5" customHeight="1" x14ac:dyDescent="0.25">
      <c r="B429" s="34">
        <v>422</v>
      </c>
      <c r="C429" s="72" t="s">
        <v>577</v>
      </c>
      <c r="D429" s="251" t="s">
        <v>578</v>
      </c>
      <c r="E429" s="41" t="s">
        <v>158</v>
      </c>
      <c r="F429" s="41"/>
      <c r="G429" s="41"/>
      <c r="H429" s="41" t="s">
        <v>915</v>
      </c>
      <c r="I429" s="88" t="s">
        <v>930</v>
      </c>
      <c r="J429" s="283">
        <v>28216</v>
      </c>
      <c r="K429" s="284">
        <f t="shared" si="45"/>
        <v>1</v>
      </c>
      <c r="L429" s="285">
        <v>0</v>
      </c>
      <c r="M429" s="283">
        <f t="shared" si="44"/>
        <v>28216</v>
      </c>
      <c r="N429" s="89" t="s">
        <v>1464</v>
      </c>
      <c r="O429" s="253">
        <f t="shared" si="46"/>
        <v>28216</v>
      </c>
      <c r="P429" s="283" t="s">
        <v>918</v>
      </c>
      <c r="Q429" s="283">
        <f t="shared" si="48"/>
        <v>33294.879999999997</v>
      </c>
      <c r="R429" s="283">
        <f t="shared" si="49"/>
        <v>35552.160000000003</v>
      </c>
      <c r="S429" s="33"/>
      <c r="T429" s="33"/>
    </row>
    <row r="430" spans="2:20" ht="25.5" customHeight="1" x14ac:dyDescent="0.25">
      <c r="B430" s="34">
        <v>423</v>
      </c>
      <c r="C430" s="41" t="s">
        <v>1479</v>
      </c>
      <c r="D430" s="251" t="s">
        <v>1480</v>
      </c>
      <c r="E430" s="41" t="s">
        <v>158</v>
      </c>
      <c r="F430" s="41"/>
      <c r="G430" s="41"/>
      <c r="H430" s="41" t="s">
        <v>924</v>
      </c>
      <c r="I430" s="88" t="s">
        <v>930</v>
      </c>
      <c r="J430" s="283">
        <v>28216</v>
      </c>
      <c r="K430" s="284">
        <f t="shared" si="45"/>
        <v>1</v>
      </c>
      <c r="L430" s="285">
        <v>0</v>
      </c>
      <c r="M430" s="283">
        <f t="shared" si="44"/>
        <v>28216</v>
      </c>
      <c r="N430" s="89" t="s">
        <v>1464</v>
      </c>
      <c r="O430" s="253">
        <f t="shared" si="46"/>
        <v>28216</v>
      </c>
      <c r="P430" s="283" t="s">
        <v>918</v>
      </c>
      <c r="Q430" s="283">
        <f t="shared" si="48"/>
        <v>33294.879999999997</v>
      </c>
      <c r="R430" s="283">
        <f t="shared" si="49"/>
        <v>35552.160000000003</v>
      </c>
      <c r="S430" s="33"/>
      <c r="T430" s="33"/>
    </row>
    <row r="431" spans="2:20" ht="25.5" customHeight="1" x14ac:dyDescent="0.25">
      <c r="B431" s="34">
        <v>424</v>
      </c>
      <c r="C431" s="41" t="s">
        <v>587</v>
      </c>
      <c r="D431" s="251" t="s">
        <v>588</v>
      </c>
      <c r="E431" s="41" t="s">
        <v>158</v>
      </c>
      <c r="F431" s="41"/>
      <c r="G431" s="41"/>
      <c r="H431" s="41" t="s">
        <v>924</v>
      </c>
      <c r="I431" s="88" t="s">
        <v>930</v>
      </c>
      <c r="J431" s="283">
        <v>24884</v>
      </c>
      <c r="K431" s="284">
        <f t="shared" si="45"/>
        <v>1</v>
      </c>
      <c r="L431" s="285">
        <v>0</v>
      </c>
      <c r="M431" s="283">
        <f t="shared" si="44"/>
        <v>24884</v>
      </c>
      <c r="N431" s="89" t="s">
        <v>1464</v>
      </c>
      <c r="O431" s="253">
        <f t="shared" si="46"/>
        <v>24884</v>
      </c>
      <c r="P431" s="283" t="s">
        <v>918</v>
      </c>
      <c r="Q431" s="283">
        <f t="shared" si="48"/>
        <v>29363.119999999999</v>
      </c>
      <c r="R431" s="283">
        <f t="shared" si="49"/>
        <v>31353.84</v>
      </c>
      <c r="S431" s="33"/>
      <c r="T431" s="33"/>
    </row>
    <row r="432" spans="2:20" ht="25.5" customHeight="1" x14ac:dyDescent="0.25">
      <c r="B432" s="34">
        <v>425</v>
      </c>
      <c r="C432" s="41" t="s">
        <v>1481</v>
      </c>
      <c r="D432" s="251" t="s">
        <v>1482</v>
      </c>
      <c r="E432" s="41" t="s">
        <v>158</v>
      </c>
      <c r="F432" s="41"/>
      <c r="G432" s="41"/>
      <c r="H432" s="41" t="s">
        <v>924</v>
      </c>
      <c r="I432" s="88" t="s">
        <v>930</v>
      </c>
      <c r="J432" s="283">
        <v>24884</v>
      </c>
      <c r="K432" s="284">
        <f t="shared" si="45"/>
        <v>1</v>
      </c>
      <c r="L432" s="285">
        <v>0</v>
      </c>
      <c r="M432" s="283">
        <f t="shared" si="44"/>
        <v>24884</v>
      </c>
      <c r="N432" s="89" t="s">
        <v>1464</v>
      </c>
      <c r="O432" s="253">
        <f t="shared" si="46"/>
        <v>24884</v>
      </c>
      <c r="P432" s="283" t="s">
        <v>918</v>
      </c>
      <c r="Q432" s="283">
        <f t="shared" si="48"/>
        <v>29363.119999999999</v>
      </c>
      <c r="R432" s="283">
        <f t="shared" si="49"/>
        <v>31353.84</v>
      </c>
      <c r="S432" s="33"/>
      <c r="T432" s="33"/>
    </row>
    <row r="433" spans="2:20" ht="25.5" customHeight="1" x14ac:dyDescent="0.25">
      <c r="B433" s="34">
        <v>426</v>
      </c>
      <c r="C433" s="41" t="s">
        <v>1483</v>
      </c>
      <c r="D433" s="251" t="s">
        <v>1484</v>
      </c>
      <c r="E433" s="41" t="s">
        <v>158</v>
      </c>
      <c r="F433" s="41"/>
      <c r="G433" s="41"/>
      <c r="H433" s="41" t="s">
        <v>924</v>
      </c>
      <c r="I433" s="88" t="s">
        <v>930</v>
      </c>
      <c r="J433" s="283">
        <v>16456</v>
      </c>
      <c r="K433" s="284">
        <f t="shared" si="45"/>
        <v>1</v>
      </c>
      <c r="L433" s="285">
        <v>0</v>
      </c>
      <c r="M433" s="283">
        <f t="shared" ref="M433:M498" si="50">J433*K433</f>
        <v>16456</v>
      </c>
      <c r="N433" s="89" t="s">
        <v>1464</v>
      </c>
      <c r="O433" s="253">
        <f t="shared" si="46"/>
        <v>16456</v>
      </c>
      <c r="P433" s="283" t="s">
        <v>918</v>
      </c>
      <c r="Q433" s="283">
        <f t="shared" si="48"/>
        <v>19418.079999999998</v>
      </c>
      <c r="R433" s="283">
        <f t="shared" si="49"/>
        <v>20734.560000000001</v>
      </c>
      <c r="S433" s="33"/>
      <c r="T433" s="33"/>
    </row>
    <row r="434" spans="2:20" ht="25.5" customHeight="1" x14ac:dyDescent="0.25">
      <c r="B434" s="34">
        <v>427</v>
      </c>
      <c r="C434" s="41" t="s">
        <v>1485</v>
      </c>
      <c r="D434" s="251" t="s">
        <v>1486</v>
      </c>
      <c r="E434" s="41" t="s">
        <v>158</v>
      </c>
      <c r="F434" s="41"/>
      <c r="G434" s="41"/>
      <c r="H434" s="41" t="s">
        <v>924</v>
      </c>
      <c r="I434" s="88" t="s">
        <v>930</v>
      </c>
      <c r="J434" s="283">
        <v>15642</v>
      </c>
      <c r="K434" s="284">
        <f t="shared" si="45"/>
        <v>1</v>
      </c>
      <c r="L434" s="285">
        <v>0</v>
      </c>
      <c r="M434" s="283">
        <f t="shared" si="50"/>
        <v>15642</v>
      </c>
      <c r="N434" s="89" t="s">
        <v>1464</v>
      </c>
      <c r="O434" s="253">
        <f t="shared" si="46"/>
        <v>15642</v>
      </c>
      <c r="P434" s="283" t="s">
        <v>918</v>
      </c>
      <c r="Q434" s="283">
        <f t="shared" si="48"/>
        <v>18457.559999999998</v>
      </c>
      <c r="R434" s="283">
        <f t="shared" si="49"/>
        <v>19708.920000000002</v>
      </c>
      <c r="S434" s="33"/>
      <c r="T434" s="33"/>
    </row>
    <row r="435" spans="2:20" ht="25.5" customHeight="1" x14ac:dyDescent="0.25">
      <c r="B435" s="34">
        <v>428</v>
      </c>
      <c r="C435" s="72">
        <v>148.1</v>
      </c>
      <c r="D435" s="251" t="s">
        <v>886</v>
      </c>
      <c r="E435" s="41" t="s">
        <v>158</v>
      </c>
      <c r="F435" s="41"/>
      <c r="G435" s="41"/>
      <c r="H435" s="41" t="s">
        <v>915</v>
      </c>
      <c r="I435" s="88" t="s">
        <v>930</v>
      </c>
      <c r="J435" s="283">
        <v>13734</v>
      </c>
      <c r="K435" s="284">
        <f t="shared" si="45"/>
        <v>1</v>
      </c>
      <c r="L435" s="285">
        <v>0</v>
      </c>
      <c r="M435" s="283">
        <f t="shared" si="50"/>
        <v>13734</v>
      </c>
      <c r="N435" s="89" t="s">
        <v>1464</v>
      </c>
      <c r="O435" s="253">
        <f t="shared" si="46"/>
        <v>13734</v>
      </c>
      <c r="P435" s="283" t="s">
        <v>918</v>
      </c>
      <c r="Q435" s="283">
        <f t="shared" si="48"/>
        <v>16206.119999999999</v>
      </c>
      <c r="R435" s="283">
        <f t="shared" si="49"/>
        <v>17304.84</v>
      </c>
      <c r="S435" s="33"/>
      <c r="T435" s="33"/>
    </row>
    <row r="436" spans="2:20" ht="25.5" customHeight="1" x14ac:dyDescent="0.25">
      <c r="B436" s="34">
        <v>429</v>
      </c>
      <c r="C436" s="72" t="s">
        <v>593</v>
      </c>
      <c r="D436" s="251" t="s">
        <v>594</v>
      </c>
      <c r="E436" s="41" t="s">
        <v>158</v>
      </c>
      <c r="F436" s="41"/>
      <c r="G436" s="41"/>
      <c r="H436" s="41" t="s">
        <v>915</v>
      </c>
      <c r="I436" s="88" t="s">
        <v>930</v>
      </c>
      <c r="J436" s="283">
        <v>10773</v>
      </c>
      <c r="K436" s="284">
        <f t="shared" si="45"/>
        <v>1</v>
      </c>
      <c r="L436" s="285">
        <v>0</v>
      </c>
      <c r="M436" s="283">
        <f t="shared" si="50"/>
        <v>10773</v>
      </c>
      <c r="N436" s="89" t="s">
        <v>1464</v>
      </c>
      <c r="O436" s="253">
        <f t="shared" si="46"/>
        <v>10773</v>
      </c>
      <c r="P436" s="283" t="s">
        <v>918</v>
      </c>
      <c r="Q436" s="283">
        <f t="shared" si="48"/>
        <v>12712.14</v>
      </c>
      <c r="R436" s="283">
        <f t="shared" si="49"/>
        <v>13573.98</v>
      </c>
      <c r="S436" s="33"/>
      <c r="T436" s="33"/>
    </row>
    <row r="437" spans="2:20" ht="25.5" customHeight="1" x14ac:dyDescent="0.25">
      <c r="B437" s="34">
        <v>430</v>
      </c>
      <c r="C437" s="72" t="s">
        <v>1487</v>
      </c>
      <c r="D437" s="251" t="s">
        <v>1488</v>
      </c>
      <c r="E437" s="41" t="s">
        <v>158</v>
      </c>
      <c r="F437" s="41"/>
      <c r="G437" s="41"/>
      <c r="H437" s="41" t="s">
        <v>915</v>
      </c>
      <c r="I437" s="88" t="s">
        <v>930</v>
      </c>
      <c r="J437" s="283">
        <v>10773</v>
      </c>
      <c r="K437" s="284">
        <f t="shared" si="45"/>
        <v>1</v>
      </c>
      <c r="L437" s="285">
        <v>0</v>
      </c>
      <c r="M437" s="283">
        <f t="shared" si="50"/>
        <v>10773</v>
      </c>
      <c r="N437" s="89" t="s">
        <v>1464</v>
      </c>
      <c r="O437" s="253">
        <f t="shared" si="46"/>
        <v>10773</v>
      </c>
      <c r="P437" s="283" t="s">
        <v>918</v>
      </c>
      <c r="Q437" s="283">
        <f t="shared" si="48"/>
        <v>12712.14</v>
      </c>
      <c r="R437" s="283">
        <f t="shared" si="49"/>
        <v>13573.98</v>
      </c>
      <c r="S437" s="33"/>
      <c r="T437" s="33"/>
    </row>
    <row r="438" spans="2:20" ht="25.5" customHeight="1" x14ac:dyDescent="0.25">
      <c r="B438" s="34">
        <v>431</v>
      </c>
      <c r="C438" s="72" t="s">
        <v>595</v>
      </c>
      <c r="D438" s="251" t="s">
        <v>596</v>
      </c>
      <c r="E438" s="41" t="s">
        <v>158</v>
      </c>
      <c r="F438" s="41"/>
      <c r="G438" s="41"/>
      <c r="H438" s="41" t="s">
        <v>915</v>
      </c>
      <c r="I438" s="88" t="s">
        <v>930</v>
      </c>
      <c r="J438" s="283">
        <v>10773</v>
      </c>
      <c r="K438" s="284">
        <f t="shared" si="45"/>
        <v>1</v>
      </c>
      <c r="L438" s="285">
        <v>0</v>
      </c>
      <c r="M438" s="283">
        <f t="shared" si="50"/>
        <v>10773</v>
      </c>
      <c r="N438" s="89" t="s">
        <v>1464</v>
      </c>
      <c r="O438" s="253">
        <f t="shared" si="46"/>
        <v>10773</v>
      </c>
      <c r="P438" s="283" t="s">
        <v>918</v>
      </c>
      <c r="Q438" s="283">
        <f t="shared" si="48"/>
        <v>12712.14</v>
      </c>
      <c r="R438" s="283">
        <f t="shared" si="49"/>
        <v>13573.98</v>
      </c>
      <c r="S438" s="33"/>
      <c r="T438" s="33"/>
    </row>
    <row r="439" spans="2:20" ht="25.5" customHeight="1" x14ac:dyDescent="0.25">
      <c r="B439" s="34">
        <v>432</v>
      </c>
      <c r="C439" s="72" t="s">
        <v>1489</v>
      </c>
      <c r="D439" s="251" t="s">
        <v>1490</v>
      </c>
      <c r="E439" s="41" t="s">
        <v>158</v>
      </c>
      <c r="F439" s="41"/>
      <c r="G439" s="41"/>
      <c r="H439" s="41" t="s">
        <v>915</v>
      </c>
      <c r="I439" s="88" t="s">
        <v>930</v>
      </c>
      <c r="J439" s="283">
        <v>9058</v>
      </c>
      <c r="K439" s="284">
        <f t="shared" ref="K439:K504" si="51">(1+L439)</f>
        <v>1</v>
      </c>
      <c r="L439" s="285">
        <v>0</v>
      </c>
      <c r="M439" s="283">
        <f t="shared" si="50"/>
        <v>9058</v>
      </c>
      <c r="N439" s="89" t="s">
        <v>1464</v>
      </c>
      <c r="O439" s="253">
        <f t="shared" si="46"/>
        <v>9058</v>
      </c>
      <c r="P439" s="283" t="s">
        <v>918</v>
      </c>
      <c r="Q439" s="283">
        <f t="shared" si="48"/>
        <v>10688.439999999999</v>
      </c>
      <c r="R439" s="283">
        <f t="shared" si="49"/>
        <v>11413.08</v>
      </c>
      <c r="S439" s="33"/>
      <c r="T439" s="33"/>
    </row>
    <row r="440" spans="2:20" ht="25.5" customHeight="1" x14ac:dyDescent="0.25">
      <c r="B440" s="34">
        <v>433</v>
      </c>
      <c r="C440" s="72" t="s">
        <v>1491</v>
      </c>
      <c r="D440" s="251" t="s">
        <v>1492</v>
      </c>
      <c r="E440" s="41" t="s">
        <v>158</v>
      </c>
      <c r="F440" s="41"/>
      <c r="G440" s="41"/>
      <c r="H440" s="41" t="s">
        <v>915</v>
      </c>
      <c r="I440" s="88" t="s">
        <v>930</v>
      </c>
      <c r="J440" s="283">
        <v>7978</v>
      </c>
      <c r="K440" s="284">
        <f t="shared" si="51"/>
        <v>1</v>
      </c>
      <c r="L440" s="285">
        <v>0</v>
      </c>
      <c r="M440" s="283">
        <f t="shared" si="50"/>
        <v>7978</v>
      </c>
      <c r="N440" s="89" t="s">
        <v>1464</v>
      </c>
      <c r="O440" s="253">
        <f t="shared" si="46"/>
        <v>7978</v>
      </c>
      <c r="P440" s="283" t="s">
        <v>918</v>
      </c>
      <c r="Q440" s="283">
        <f t="shared" si="48"/>
        <v>9414.0399999999991</v>
      </c>
      <c r="R440" s="283">
        <f t="shared" si="49"/>
        <v>10052.280000000001</v>
      </c>
      <c r="S440" s="33"/>
      <c r="T440" s="33"/>
    </row>
    <row r="441" spans="2:20" ht="25.5" customHeight="1" x14ac:dyDescent="0.25">
      <c r="B441" s="34">
        <v>434</v>
      </c>
      <c r="C441" s="72" t="s">
        <v>1493</v>
      </c>
      <c r="D441" s="251" t="s">
        <v>1494</v>
      </c>
      <c r="E441" s="41" t="s">
        <v>158</v>
      </c>
      <c r="F441" s="41"/>
      <c r="G441" s="41"/>
      <c r="H441" s="41" t="s">
        <v>915</v>
      </c>
      <c r="I441" s="88" t="s">
        <v>930</v>
      </c>
      <c r="J441" s="283">
        <v>6113</v>
      </c>
      <c r="K441" s="284">
        <f t="shared" si="51"/>
        <v>1</v>
      </c>
      <c r="L441" s="285">
        <v>0</v>
      </c>
      <c r="M441" s="283">
        <f t="shared" si="50"/>
        <v>6113</v>
      </c>
      <c r="N441" s="89" t="s">
        <v>1464</v>
      </c>
      <c r="O441" s="253">
        <f t="shared" si="46"/>
        <v>6113</v>
      </c>
      <c r="P441" s="283" t="s">
        <v>918</v>
      </c>
      <c r="Q441" s="283">
        <f t="shared" si="48"/>
        <v>7213.3399999999992</v>
      </c>
      <c r="R441" s="283">
        <f t="shared" si="49"/>
        <v>7702.38</v>
      </c>
      <c r="S441" s="33"/>
      <c r="T441" s="33"/>
    </row>
    <row r="442" spans="2:20" ht="25.5" customHeight="1" x14ac:dyDescent="0.25">
      <c r="B442" s="34">
        <v>435</v>
      </c>
      <c r="C442" s="72">
        <v>147.1</v>
      </c>
      <c r="D442" s="251" t="s">
        <v>861</v>
      </c>
      <c r="E442" s="41" t="s">
        <v>158</v>
      </c>
      <c r="F442" s="41"/>
      <c r="G442" s="41"/>
      <c r="H442" s="41" t="s">
        <v>915</v>
      </c>
      <c r="I442" s="88" t="s">
        <v>930</v>
      </c>
      <c r="J442" s="283">
        <v>13472</v>
      </c>
      <c r="K442" s="284">
        <f t="shared" si="51"/>
        <v>1</v>
      </c>
      <c r="L442" s="285">
        <v>0</v>
      </c>
      <c r="M442" s="283">
        <f t="shared" si="50"/>
        <v>13472</v>
      </c>
      <c r="N442" s="89" t="s">
        <v>1464</v>
      </c>
      <c r="O442" s="253">
        <f t="shared" ref="O442:O504" si="52">M442</f>
        <v>13472</v>
      </c>
      <c r="P442" s="283" t="s">
        <v>918</v>
      </c>
      <c r="Q442" s="283">
        <f t="shared" si="48"/>
        <v>15896.96</v>
      </c>
      <c r="R442" s="283">
        <f t="shared" si="49"/>
        <v>16974.72</v>
      </c>
      <c r="S442" s="33"/>
      <c r="T442" s="33"/>
    </row>
    <row r="443" spans="2:20" ht="25.5" customHeight="1" x14ac:dyDescent="0.25">
      <c r="B443" s="34">
        <v>436</v>
      </c>
      <c r="C443" s="72" t="s">
        <v>548</v>
      </c>
      <c r="D443" s="251" t="s">
        <v>549</v>
      </c>
      <c r="E443" s="41" t="s">
        <v>158</v>
      </c>
      <c r="F443" s="41"/>
      <c r="G443" s="41"/>
      <c r="H443" s="41" t="s">
        <v>915</v>
      </c>
      <c r="I443" s="88" t="s">
        <v>930</v>
      </c>
      <c r="J443" s="283">
        <v>11460</v>
      </c>
      <c r="K443" s="284">
        <f t="shared" si="51"/>
        <v>1</v>
      </c>
      <c r="L443" s="285">
        <v>0</v>
      </c>
      <c r="M443" s="283">
        <f t="shared" si="50"/>
        <v>11460</v>
      </c>
      <c r="N443" s="89" t="s">
        <v>1464</v>
      </c>
      <c r="O443" s="253">
        <f t="shared" si="52"/>
        <v>11460</v>
      </c>
      <c r="P443" s="283" t="s">
        <v>918</v>
      </c>
      <c r="Q443" s="283">
        <f t="shared" si="48"/>
        <v>13522.8</v>
      </c>
      <c r="R443" s="283">
        <f t="shared" si="49"/>
        <v>14439.6</v>
      </c>
      <c r="S443" s="33"/>
      <c r="T443" s="33"/>
    </row>
    <row r="444" spans="2:20" ht="25.5" customHeight="1" x14ac:dyDescent="0.25">
      <c r="B444" s="34">
        <v>437</v>
      </c>
      <c r="C444" s="72" t="s">
        <v>557</v>
      </c>
      <c r="D444" s="251" t="s">
        <v>558</v>
      </c>
      <c r="E444" s="41" t="s">
        <v>158</v>
      </c>
      <c r="F444" s="41"/>
      <c r="G444" s="41"/>
      <c r="H444" s="41" t="s">
        <v>915</v>
      </c>
      <c r="I444" s="88" t="s">
        <v>930</v>
      </c>
      <c r="J444" s="283">
        <v>11460</v>
      </c>
      <c r="K444" s="284">
        <f t="shared" si="51"/>
        <v>1</v>
      </c>
      <c r="L444" s="285">
        <v>0</v>
      </c>
      <c r="M444" s="283">
        <f t="shared" si="50"/>
        <v>11460</v>
      </c>
      <c r="N444" s="89" t="s">
        <v>1464</v>
      </c>
      <c r="O444" s="253">
        <f t="shared" si="52"/>
        <v>11460</v>
      </c>
      <c r="P444" s="283" t="s">
        <v>918</v>
      </c>
      <c r="Q444" s="283">
        <f t="shared" si="48"/>
        <v>13522.8</v>
      </c>
      <c r="R444" s="283">
        <f t="shared" si="49"/>
        <v>14439.6</v>
      </c>
      <c r="S444" s="33"/>
      <c r="T444" s="33"/>
    </row>
    <row r="445" spans="2:20" ht="25.5" customHeight="1" x14ac:dyDescent="0.25">
      <c r="B445" s="34">
        <v>438</v>
      </c>
      <c r="C445" s="72" t="s">
        <v>552</v>
      </c>
      <c r="D445" s="251" t="s">
        <v>1495</v>
      </c>
      <c r="E445" s="41" t="s">
        <v>158</v>
      </c>
      <c r="F445" s="41"/>
      <c r="G445" s="41"/>
      <c r="H445" s="41" t="s">
        <v>915</v>
      </c>
      <c r="I445" s="88" t="s">
        <v>930</v>
      </c>
      <c r="J445" s="283">
        <v>11460</v>
      </c>
      <c r="K445" s="284">
        <f t="shared" si="51"/>
        <v>1</v>
      </c>
      <c r="L445" s="285">
        <v>0</v>
      </c>
      <c r="M445" s="283">
        <f t="shared" si="50"/>
        <v>11460</v>
      </c>
      <c r="N445" s="89" t="s">
        <v>1464</v>
      </c>
      <c r="O445" s="253">
        <f t="shared" si="52"/>
        <v>11460</v>
      </c>
      <c r="P445" s="283" t="s">
        <v>918</v>
      </c>
      <c r="Q445" s="283">
        <f t="shared" si="48"/>
        <v>13522.8</v>
      </c>
      <c r="R445" s="283">
        <f t="shared" si="49"/>
        <v>14439.6</v>
      </c>
      <c r="S445" s="33"/>
      <c r="T445" s="33"/>
    </row>
    <row r="446" spans="2:20" ht="25.5" customHeight="1" x14ac:dyDescent="0.25">
      <c r="B446" s="34">
        <v>439</v>
      </c>
      <c r="C446" s="72" t="s">
        <v>563</v>
      </c>
      <c r="D446" s="251" t="s">
        <v>564</v>
      </c>
      <c r="E446" s="41" t="s">
        <v>158</v>
      </c>
      <c r="F446" s="41"/>
      <c r="G446" s="41"/>
      <c r="H446" s="41" t="s">
        <v>915</v>
      </c>
      <c r="I446" s="88" t="s">
        <v>930</v>
      </c>
      <c r="J446" s="283">
        <v>9427</v>
      </c>
      <c r="K446" s="284">
        <f t="shared" si="51"/>
        <v>1</v>
      </c>
      <c r="L446" s="285">
        <v>0</v>
      </c>
      <c r="M446" s="283">
        <f t="shared" si="50"/>
        <v>9427</v>
      </c>
      <c r="N446" s="89" t="s">
        <v>1464</v>
      </c>
      <c r="O446" s="253">
        <f t="shared" si="52"/>
        <v>9427</v>
      </c>
      <c r="P446" s="283" t="s">
        <v>918</v>
      </c>
      <c r="Q446" s="283">
        <f t="shared" si="48"/>
        <v>11123.859999999999</v>
      </c>
      <c r="R446" s="283">
        <f t="shared" si="49"/>
        <v>11878.02</v>
      </c>
      <c r="S446" s="33"/>
      <c r="T446" s="33"/>
    </row>
    <row r="447" spans="2:20" ht="25.5" customHeight="1" x14ac:dyDescent="0.25">
      <c r="B447" s="34">
        <v>440</v>
      </c>
      <c r="C447" s="72" t="s">
        <v>1496</v>
      </c>
      <c r="D447" s="251" t="s">
        <v>1497</v>
      </c>
      <c r="E447" s="41" t="s">
        <v>158</v>
      </c>
      <c r="F447" s="41"/>
      <c r="G447" s="41"/>
      <c r="H447" s="41" t="s">
        <v>915</v>
      </c>
      <c r="I447" s="88" t="s">
        <v>930</v>
      </c>
      <c r="J447" s="283">
        <v>8919</v>
      </c>
      <c r="K447" s="284">
        <f t="shared" si="51"/>
        <v>1</v>
      </c>
      <c r="L447" s="285">
        <v>0</v>
      </c>
      <c r="M447" s="283">
        <f t="shared" si="50"/>
        <v>8919</v>
      </c>
      <c r="N447" s="89" t="s">
        <v>1464</v>
      </c>
      <c r="O447" s="253">
        <f t="shared" si="52"/>
        <v>8919</v>
      </c>
      <c r="P447" s="283" t="s">
        <v>918</v>
      </c>
      <c r="Q447" s="283">
        <f t="shared" si="48"/>
        <v>10524.42</v>
      </c>
      <c r="R447" s="283">
        <f t="shared" si="49"/>
        <v>11237.94</v>
      </c>
      <c r="S447" s="33"/>
      <c r="T447" s="33"/>
    </row>
    <row r="448" spans="2:20" ht="25.5" customHeight="1" x14ac:dyDescent="0.25">
      <c r="B448" s="34">
        <v>441</v>
      </c>
      <c r="C448" s="72" t="s">
        <v>887</v>
      </c>
      <c r="D448" s="251" t="s">
        <v>888</v>
      </c>
      <c r="E448" s="41" t="s">
        <v>158</v>
      </c>
      <c r="F448" s="41"/>
      <c r="G448" s="41"/>
      <c r="H448" s="41" t="s">
        <v>915</v>
      </c>
      <c r="I448" s="88" t="s">
        <v>930</v>
      </c>
      <c r="J448" s="283">
        <v>20602</v>
      </c>
      <c r="K448" s="284">
        <f t="shared" si="51"/>
        <v>1</v>
      </c>
      <c r="L448" s="285">
        <v>0</v>
      </c>
      <c r="M448" s="283">
        <f t="shared" si="50"/>
        <v>20602</v>
      </c>
      <c r="N448" s="89" t="s">
        <v>1464</v>
      </c>
      <c r="O448" s="253">
        <f t="shared" si="52"/>
        <v>20602</v>
      </c>
      <c r="P448" s="283" t="s">
        <v>918</v>
      </c>
      <c r="Q448" s="283">
        <f t="shared" si="48"/>
        <v>24310.359999999997</v>
      </c>
      <c r="R448" s="283">
        <f t="shared" si="49"/>
        <v>25958.52</v>
      </c>
      <c r="S448" s="33"/>
      <c r="T448" s="33"/>
    </row>
    <row r="449" spans="2:20" ht="25.5" customHeight="1" x14ac:dyDescent="0.25">
      <c r="B449" s="34">
        <v>442</v>
      </c>
      <c r="C449" s="72" t="s">
        <v>550</v>
      </c>
      <c r="D449" s="251" t="s">
        <v>551</v>
      </c>
      <c r="E449" s="41" t="s">
        <v>158</v>
      </c>
      <c r="F449" s="41"/>
      <c r="G449" s="41"/>
      <c r="H449" s="41" t="s">
        <v>915</v>
      </c>
      <c r="I449" s="88" t="s">
        <v>930</v>
      </c>
      <c r="J449" s="283">
        <v>20602</v>
      </c>
      <c r="K449" s="284">
        <f t="shared" si="51"/>
        <v>1</v>
      </c>
      <c r="L449" s="285">
        <v>0</v>
      </c>
      <c r="M449" s="283">
        <f t="shared" si="50"/>
        <v>20602</v>
      </c>
      <c r="N449" s="89" t="s">
        <v>1464</v>
      </c>
      <c r="O449" s="253">
        <f t="shared" si="52"/>
        <v>20602</v>
      </c>
      <c r="P449" s="283" t="s">
        <v>918</v>
      </c>
      <c r="Q449" s="283">
        <f t="shared" si="48"/>
        <v>24310.359999999997</v>
      </c>
      <c r="R449" s="283">
        <f t="shared" si="49"/>
        <v>25958.52</v>
      </c>
      <c r="S449" s="33"/>
      <c r="T449" s="33"/>
    </row>
    <row r="450" spans="2:20" ht="25.5" customHeight="1" x14ac:dyDescent="0.25">
      <c r="B450" s="34">
        <v>443</v>
      </c>
      <c r="C450" s="72" t="s">
        <v>559</v>
      </c>
      <c r="D450" s="251" t="s">
        <v>560</v>
      </c>
      <c r="E450" s="41" t="s">
        <v>158</v>
      </c>
      <c r="F450" s="41"/>
      <c r="G450" s="41"/>
      <c r="H450" s="41" t="s">
        <v>915</v>
      </c>
      <c r="I450" s="88" t="s">
        <v>930</v>
      </c>
      <c r="J450" s="283">
        <v>20602</v>
      </c>
      <c r="K450" s="284">
        <f t="shared" si="51"/>
        <v>1</v>
      </c>
      <c r="L450" s="285">
        <v>0</v>
      </c>
      <c r="M450" s="283">
        <f t="shared" si="50"/>
        <v>20602</v>
      </c>
      <c r="N450" s="89" t="s">
        <v>1464</v>
      </c>
      <c r="O450" s="253">
        <f t="shared" si="52"/>
        <v>20602</v>
      </c>
      <c r="P450" s="283" t="s">
        <v>918</v>
      </c>
      <c r="Q450" s="283">
        <f t="shared" si="48"/>
        <v>24310.359999999997</v>
      </c>
      <c r="R450" s="283">
        <f t="shared" si="49"/>
        <v>25958.52</v>
      </c>
      <c r="S450" s="33"/>
      <c r="T450" s="33"/>
    </row>
    <row r="451" spans="2:20" ht="25.5" customHeight="1" x14ac:dyDescent="0.25">
      <c r="B451" s="34">
        <v>444</v>
      </c>
      <c r="C451" s="72" t="s">
        <v>554</v>
      </c>
      <c r="D451" s="251" t="s">
        <v>1498</v>
      </c>
      <c r="E451" s="41" t="s">
        <v>158</v>
      </c>
      <c r="F451" s="41"/>
      <c r="G451" s="41"/>
      <c r="H451" s="41" t="s">
        <v>915</v>
      </c>
      <c r="I451" s="88" t="s">
        <v>930</v>
      </c>
      <c r="J451" s="283">
        <v>18101</v>
      </c>
      <c r="K451" s="284">
        <f t="shared" si="51"/>
        <v>1</v>
      </c>
      <c r="L451" s="285">
        <v>0</v>
      </c>
      <c r="M451" s="283">
        <f t="shared" si="50"/>
        <v>18101</v>
      </c>
      <c r="N451" s="89" t="s">
        <v>1464</v>
      </c>
      <c r="O451" s="253">
        <f t="shared" si="52"/>
        <v>18101</v>
      </c>
      <c r="P451" s="283" t="s">
        <v>918</v>
      </c>
      <c r="Q451" s="283">
        <f t="shared" si="48"/>
        <v>21359.18</v>
      </c>
      <c r="R451" s="283">
        <f t="shared" si="49"/>
        <v>22807.26</v>
      </c>
      <c r="S451" s="33"/>
      <c r="T451" s="33"/>
    </row>
    <row r="452" spans="2:20" ht="25.5" customHeight="1" x14ac:dyDescent="0.25">
      <c r="B452" s="34">
        <v>445</v>
      </c>
      <c r="C452" s="72" t="s">
        <v>561</v>
      </c>
      <c r="D452" s="251" t="s">
        <v>562</v>
      </c>
      <c r="E452" s="41" t="s">
        <v>158</v>
      </c>
      <c r="F452" s="41"/>
      <c r="G452" s="41"/>
      <c r="H452" s="41" t="s">
        <v>915</v>
      </c>
      <c r="I452" s="88" t="s">
        <v>930</v>
      </c>
      <c r="J452" s="283">
        <v>15749</v>
      </c>
      <c r="K452" s="284">
        <f t="shared" si="51"/>
        <v>1</v>
      </c>
      <c r="L452" s="285">
        <v>0</v>
      </c>
      <c r="M452" s="283">
        <f t="shared" si="50"/>
        <v>15749</v>
      </c>
      <c r="N452" s="89" t="s">
        <v>1464</v>
      </c>
      <c r="O452" s="253">
        <f t="shared" si="52"/>
        <v>15749</v>
      </c>
      <c r="P452" s="283" t="s">
        <v>918</v>
      </c>
      <c r="Q452" s="283">
        <f t="shared" si="48"/>
        <v>18583.82</v>
      </c>
      <c r="R452" s="283">
        <f t="shared" si="49"/>
        <v>19843.740000000002</v>
      </c>
      <c r="S452" s="33"/>
      <c r="T452" s="33"/>
    </row>
    <row r="453" spans="2:20" ht="25.5" customHeight="1" x14ac:dyDescent="0.25">
      <c r="B453" s="34">
        <v>446</v>
      </c>
      <c r="C453" s="72" t="s">
        <v>1499</v>
      </c>
      <c r="D453" s="251" t="s">
        <v>1500</v>
      </c>
      <c r="E453" s="41" t="s">
        <v>158</v>
      </c>
      <c r="F453" s="41"/>
      <c r="G453" s="41"/>
      <c r="H453" s="41" t="s">
        <v>915</v>
      </c>
      <c r="I453" s="88" t="s">
        <v>930</v>
      </c>
      <c r="J453" s="283">
        <v>14300</v>
      </c>
      <c r="K453" s="284">
        <f t="shared" si="51"/>
        <v>1</v>
      </c>
      <c r="L453" s="285">
        <v>0</v>
      </c>
      <c r="M453" s="283">
        <f t="shared" si="50"/>
        <v>14300</v>
      </c>
      <c r="N453" s="89" t="s">
        <v>1464</v>
      </c>
      <c r="O453" s="253">
        <f t="shared" si="52"/>
        <v>14300</v>
      </c>
      <c r="P453" s="283" t="s">
        <v>918</v>
      </c>
      <c r="Q453" s="283">
        <f t="shared" si="48"/>
        <v>16874</v>
      </c>
      <c r="R453" s="283">
        <f t="shared" si="49"/>
        <v>18018</v>
      </c>
      <c r="S453" s="33"/>
      <c r="T453" s="33"/>
    </row>
    <row r="454" spans="2:20" ht="25.5" customHeight="1" x14ac:dyDescent="0.25">
      <c r="B454" s="34">
        <v>447</v>
      </c>
      <c r="C454" s="72" t="s">
        <v>1501</v>
      </c>
      <c r="D454" s="251" t="s">
        <v>1502</v>
      </c>
      <c r="E454" s="41" t="s">
        <v>158</v>
      </c>
      <c r="F454" s="41"/>
      <c r="G454" s="41"/>
      <c r="H454" s="41" t="s">
        <v>924</v>
      </c>
      <c r="I454" s="88" t="s">
        <v>930</v>
      </c>
      <c r="J454" s="283">
        <v>9272</v>
      </c>
      <c r="K454" s="284">
        <f t="shared" si="51"/>
        <v>1</v>
      </c>
      <c r="L454" s="285">
        <v>0</v>
      </c>
      <c r="M454" s="283">
        <f t="shared" si="50"/>
        <v>9272</v>
      </c>
      <c r="N454" s="89" t="s">
        <v>1464</v>
      </c>
      <c r="O454" s="253">
        <f t="shared" si="52"/>
        <v>9272</v>
      </c>
      <c r="P454" s="283" t="s">
        <v>918</v>
      </c>
      <c r="Q454" s="283">
        <f t="shared" si="48"/>
        <v>10940.96</v>
      </c>
      <c r="R454" s="283">
        <f t="shared" si="49"/>
        <v>11682.72</v>
      </c>
      <c r="S454" s="33"/>
      <c r="T454" s="33"/>
    </row>
    <row r="455" spans="2:20" ht="25.5" customHeight="1" x14ac:dyDescent="0.25">
      <c r="B455" s="34">
        <v>448</v>
      </c>
      <c r="C455" s="72" t="s">
        <v>1503</v>
      </c>
      <c r="D455" s="251" t="s">
        <v>1504</v>
      </c>
      <c r="E455" s="41" t="s">
        <v>158</v>
      </c>
      <c r="F455" s="41"/>
      <c r="G455" s="41"/>
      <c r="H455" s="41" t="s">
        <v>924</v>
      </c>
      <c r="I455" s="88" t="s">
        <v>930</v>
      </c>
      <c r="J455" s="283">
        <v>8769</v>
      </c>
      <c r="K455" s="284">
        <f t="shared" si="51"/>
        <v>1</v>
      </c>
      <c r="L455" s="285">
        <v>0</v>
      </c>
      <c r="M455" s="283">
        <f t="shared" si="50"/>
        <v>8769</v>
      </c>
      <c r="N455" s="89" t="s">
        <v>1464</v>
      </c>
      <c r="O455" s="253">
        <f t="shared" si="52"/>
        <v>8769</v>
      </c>
      <c r="P455" s="283" t="s">
        <v>918</v>
      </c>
      <c r="Q455" s="283">
        <f t="shared" si="48"/>
        <v>10347.42</v>
      </c>
      <c r="R455" s="283">
        <f t="shared" si="49"/>
        <v>11048.94</v>
      </c>
      <c r="S455" s="33"/>
      <c r="T455" s="33"/>
    </row>
    <row r="456" spans="2:20" ht="25.5" customHeight="1" x14ac:dyDescent="0.25">
      <c r="B456" s="34">
        <v>449</v>
      </c>
      <c r="C456" s="72" t="s">
        <v>1505</v>
      </c>
      <c r="D456" s="251" t="s">
        <v>1506</v>
      </c>
      <c r="E456" s="41" t="s">
        <v>158</v>
      </c>
      <c r="F456" s="41"/>
      <c r="G456" s="41"/>
      <c r="H456" s="41" t="s">
        <v>924</v>
      </c>
      <c r="I456" s="88" t="s">
        <v>930</v>
      </c>
      <c r="J456" s="283">
        <v>4744</v>
      </c>
      <c r="K456" s="284">
        <f t="shared" si="51"/>
        <v>1</v>
      </c>
      <c r="L456" s="285">
        <v>0</v>
      </c>
      <c r="M456" s="283">
        <f t="shared" si="50"/>
        <v>4744</v>
      </c>
      <c r="N456" s="89" t="s">
        <v>1464</v>
      </c>
      <c r="O456" s="253">
        <f t="shared" si="52"/>
        <v>4744</v>
      </c>
      <c r="P456" s="283" t="s">
        <v>918</v>
      </c>
      <c r="Q456" s="283">
        <f t="shared" si="48"/>
        <v>5597.92</v>
      </c>
      <c r="R456" s="283">
        <f t="shared" si="49"/>
        <v>5977.44</v>
      </c>
      <c r="S456" s="33"/>
      <c r="T456" s="33"/>
    </row>
    <row r="457" spans="2:20" ht="25.5" customHeight="1" x14ac:dyDescent="0.25">
      <c r="B457" s="34">
        <v>450</v>
      </c>
      <c r="C457" s="72" t="s">
        <v>1507</v>
      </c>
      <c r="D457" s="251" t="s">
        <v>1508</v>
      </c>
      <c r="E457" s="41" t="s">
        <v>158</v>
      </c>
      <c r="F457" s="41"/>
      <c r="G457" s="41"/>
      <c r="H457" s="41" t="s">
        <v>924</v>
      </c>
      <c r="I457" s="88" t="s">
        <v>930</v>
      </c>
      <c r="J457" s="283">
        <v>3091</v>
      </c>
      <c r="K457" s="284">
        <f t="shared" si="51"/>
        <v>1</v>
      </c>
      <c r="L457" s="285">
        <v>0</v>
      </c>
      <c r="M457" s="283">
        <f t="shared" si="50"/>
        <v>3091</v>
      </c>
      <c r="N457" s="89" t="s">
        <v>1464</v>
      </c>
      <c r="O457" s="253">
        <f t="shared" si="52"/>
        <v>3091</v>
      </c>
      <c r="P457" s="283" t="s">
        <v>918</v>
      </c>
      <c r="Q457" s="283">
        <f t="shared" si="48"/>
        <v>3647.3799999999997</v>
      </c>
      <c r="R457" s="283">
        <f t="shared" si="49"/>
        <v>3894.66</v>
      </c>
      <c r="S457" s="33"/>
      <c r="T457" s="33"/>
    </row>
    <row r="458" spans="2:20" ht="25.5" customHeight="1" x14ac:dyDescent="0.25">
      <c r="B458" s="34">
        <v>451</v>
      </c>
      <c r="C458" s="72" t="s">
        <v>1509</v>
      </c>
      <c r="D458" s="251" t="s">
        <v>1510</v>
      </c>
      <c r="E458" s="41" t="s">
        <v>158</v>
      </c>
      <c r="F458" s="41"/>
      <c r="G458" s="41"/>
      <c r="H458" s="41" t="s">
        <v>924</v>
      </c>
      <c r="I458" s="88" t="s">
        <v>930</v>
      </c>
      <c r="J458" s="283">
        <v>1667</v>
      </c>
      <c r="K458" s="284">
        <f t="shared" si="51"/>
        <v>1</v>
      </c>
      <c r="L458" s="285">
        <v>0</v>
      </c>
      <c r="M458" s="283">
        <f t="shared" si="50"/>
        <v>1667</v>
      </c>
      <c r="N458" s="89" t="s">
        <v>1464</v>
      </c>
      <c r="O458" s="253">
        <f t="shared" si="52"/>
        <v>1667</v>
      </c>
      <c r="P458" s="283" t="s">
        <v>918</v>
      </c>
      <c r="Q458" s="283">
        <f t="shared" si="48"/>
        <v>1967.06</v>
      </c>
      <c r="R458" s="283">
        <f t="shared" si="49"/>
        <v>2100.42</v>
      </c>
      <c r="S458" s="33"/>
      <c r="T458" s="33"/>
    </row>
    <row r="459" spans="2:20" ht="25.5" customHeight="1" x14ac:dyDescent="0.25">
      <c r="B459" s="34">
        <v>452</v>
      </c>
      <c r="C459" s="72" t="s">
        <v>1511</v>
      </c>
      <c r="D459" s="251" t="s">
        <v>1512</v>
      </c>
      <c r="E459" s="41" t="s">
        <v>158</v>
      </c>
      <c r="F459" s="41"/>
      <c r="G459" s="41"/>
      <c r="H459" s="41" t="s">
        <v>924</v>
      </c>
      <c r="I459" s="88" t="s">
        <v>930</v>
      </c>
      <c r="J459" s="283">
        <v>2184</v>
      </c>
      <c r="K459" s="284">
        <f t="shared" si="51"/>
        <v>1</v>
      </c>
      <c r="L459" s="285">
        <v>0</v>
      </c>
      <c r="M459" s="283">
        <f t="shared" si="50"/>
        <v>2184</v>
      </c>
      <c r="N459" s="89" t="s">
        <v>1464</v>
      </c>
      <c r="O459" s="253">
        <f t="shared" si="52"/>
        <v>2184</v>
      </c>
      <c r="P459" s="283" t="s">
        <v>918</v>
      </c>
      <c r="Q459" s="283">
        <f t="shared" si="48"/>
        <v>2577.12</v>
      </c>
      <c r="R459" s="283">
        <f t="shared" si="49"/>
        <v>2751.84</v>
      </c>
      <c r="S459" s="33"/>
      <c r="T459" s="33"/>
    </row>
    <row r="460" spans="2:20" ht="25.5" customHeight="1" x14ac:dyDescent="0.25">
      <c r="B460" s="34">
        <v>453</v>
      </c>
      <c r="C460" s="72" t="s">
        <v>1513</v>
      </c>
      <c r="D460" s="251" t="s">
        <v>1514</v>
      </c>
      <c r="E460" s="41" t="s">
        <v>158</v>
      </c>
      <c r="F460" s="41"/>
      <c r="G460" s="41"/>
      <c r="H460" s="41" t="s">
        <v>924</v>
      </c>
      <c r="I460" s="88" t="s">
        <v>930</v>
      </c>
      <c r="J460" s="283">
        <v>1834</v>
      </c>
      <c r="K460" s="284">
        <f t="shared" si="51"/>
        <v>1</v>
      </c>
      <c r="L460" s="285">
        <v>0</v>
      </c>
      <c r="M460" s="283">
        <f t="shared" si="50"/>
        <v>1834</v>
      </c>
      <c r="N460" s="89" t="s">
        <v>1464</v>
      </c>
      <c r="O460" s="253">
        <f t="shared" si="52"/>
        <v>1834</v>
      </c>
      <c r="P460" s="283" t="s">
        <v>918</v>
      </c>
      <c r="Q460" s="283">
        <f t="shared" si="48"/>
        <v>2164.12</v>
      </c>
      <c r="R460" s="283">
        <f t="shared" si="49"/>
        <v>2310.84</v>
      </c>
      <c r="S460" s="33"/>
      <c r="T460" s="33"/>
    </row>
    <row r="461" spans="2:20" ht="25.5" customHeight="1" x14ac:dyDescent="0.25">
      <c r="B461" s="34">
        <v>454</v>
      </c>
      <c r="C461" s="72" t="s">
        <v>1515</v>
      </c>
      <c r="D461" s="251" t="s">
        <v>1516</v>
      </c>
      <c r="E461" s="41" t="s">
        <v>158</v>
      </c>
      <c r="F461" s="41"/>
      <c r="G461" s="41"/>
      <c r="H461" s="41" t="s">
        <v>924</v>
      </c>
      <c r="I461" s="88" t="s">
        <v>930</v>
      </c>
      <c r="J461" s="283">
        <v>1449</v>
      </c>
      <c r="K461" s="284">
        <f t="shared" si="51"/>
        <v>1</v>
      </c>
      <c r="L461" s="285">
        <v>0</v>
      </c>
      <c r="M461" s="283">
        <f t="shared" si="50"/>
        <v>1449</v>
      </c>
      <c r="N461" s="89" t="s">
        <v>1464</v>
      </c>
      <c r="O461" s="253">
        <f t="shared" si="52"/>
        <v>1449</v>
      </c>
      <c r="P461" s="283" t="s">
        <v>918</v>
      </c>
      <c r="Q461" s="283">
        <f t="shared" si="48"/>
        <v>1709.82</v>
      </c>
      <c r="R461" s="283">
        <f t="shared" si="49"/>
        <v>1825.74</v>
      </c>
      <c r="S461" s="33"/>
      <c r="T461" s="33"/>
    </row>
    <row r="462" spans="2:20" ht="25.5" customHeight="1" x14ac:dyDescent="0.25">
      <c r="B462" s="34">
        <v>455</v>
      </c>
      <c r="C462" s="72" t="s">
        <v>1517</v>
      </c>
      <c r="D462" s="251" t="s">
        <v>1518</v>
      </c>
      <c r="E462" s="41" t="s">
        <v>158</v>
      </c>
      <c r="F462" s="41"/>
      <c r="G462" s="41"/>
      <c r="H462" s="41" t="s">
        <v>924</v>
      </c>
      <c r="I462" s="88" t="s">
        <v>930</v>
      </c>
      <c r="J462" s="283">
        <v>1312</v>
      </c>
      <c r="K462" s="284">
        <f t="shared" si="51"/>
        <v>1</v>
      </c>
      <c r="L462" s="285">
        <v>0</v>
      </c>
      <c r="M462" s="283">
        <f t="shared" si="50"/>
        <v>1312</v>
      </c>
      <c r="N462" s="89" t="s">
        <v>1464</v>
      </c>
      <c r="O462" s="253">
        <f t="shared" si="52"/>
        <v>1312</v>
      </c>
      <c r="P462" s="283" t="s">
        <v>918</v>
      </c>
      <c r="Q462" s="283">
        <f t="shared" si="48"/>
        <v>1548.1599999999999</v>
      </c>
      <c r="R462" s="283">
        <f t="shared" si="49"/>
        <v>1653.1200000000001</v>
      </c>
      <c r="S462" s="33"/>
      <c r="T462" s="33"/>
    </row>
    <row r="463" spans="2:20" ht="25.5" customHeight="1" x14ac:dyDescent="0.25">
      <c r="B463" s="34">
        <v>456</v>
      </c>
      <c r="C463" s="72" t="s">
        <v>1519</v>
      </c>
      <c r="D463" s="251" t="s">
        <v>1520</v>
      </c>
      <c r="E463" s="41" t="s">
        <v>158</v>
      </c>
      <c r="F463" s="41"/>
      <c r="G463" s="41"/>
      <c r="H463" s="41" t="s">
        <v>924</v>
      </c>
      <c r="I463" s="88" t="s">
        <v>930</v>
      </c>
      <c r="J463" s="283">
        <v>1044</v>
      </c>
      <c r="K463" s="284">
        <f t="shared" si="51"/>
        <v>1</v>
      </c>
      <c r="L463" s="285">
        <v>0</v>
      </c>
      <c r="M463" s="283">
        <f t="shared" si="50"/>
        <v>1044</v>
      </c>
      <c r="N463" s="89" t="s">
        <v>1464</v>
      </c>
      <c r="O463" s="253">
        <f t="shared" si="52"/>
        <v>1044</v>
      </c>
      <c r="P463" s="283" t="s">
        <v>918</v>
      </c>
      <c r="Q463" s="283">
        <f t="shared" si="48"/>
        <v>1231.9199999999998</v>
      </c>
      <c r="R463" s="283">
        <f t="shared" si="49"/>
        <v>1315.44</v>
      </c>
      <c r="S463" s="33"/>
      <c r="T463" s="33"/>
    </row>
    <row r="464" spans="2:20" ht="15" customHeight="1" x14ac:dyDescent="0.25">
      <c r="B464" s="34">
        <v>457</v>
      </c>
      <c r="C464" s="72">
        <v>127.1</v>
      </c>
      <c r="D464" s="251" t="s">
        <v>1521</v>
      </c>
      <c r="E464" s="41" t="s">
        <v>158</v>
      </c>
      <c r="F464" s="41"/>
      <c r="G464" s="41"/>
      <c r="H464" s="41" t="s">
        <v>915</v>
      </c>
      <c r="I464" s="88" t="s">
        <v>930</v>
      </c>
      <c r="J464" s="283">
        <v>1263</v>
      </c>
      <c r="K464" s="284">
        <f t="shared" si="51"/>
        <v>1.0126343788097087</v>
      </c>
      <c r="L464" s="285">
        <f t="shared" ref="L464:L470" si="53">$V$8</f>
        <v>1.2634378809708687E-2</v>
      </c>
      <c r="M464" s="283">
        <f t="shared" si="50"/>
        <v>1278.9572204366621</v>
      </c>
      <c r="N464" s="283" t="s">
        <v>931</v>
      </c>
      <c r="O464" s="253">
        <f t="shared" si="52"/>
        <v>1278.9572204366621</v>
      </c>
      <c r="P464" s="283" t="s">
        <v>918</v>
      </c>
      <c r="Q464" s="283">
        <f t="shared" si="48"/>
        <v>1509.1695201152611</v>
      </c>
      <c r="R464" s="283">
        <f t="shared" si="49"/>
        <v>1611.4860977501942</v>
      </c>
      <c r="S464" s="33"/>
      <c r="T464" s="33"/>
    </row>
    <row r="465" spans="2:20" ht="25.5" customHeight="1" x14ac:dyDescent="0.25">
      <c r="B465" s="34">
        <v>458</v>
      </c>
      <c r="C465" s="41" t="s">
        <v>1522</v>
      </c>
      <c r="D465" s="251" t="s">
        <v>1523</v>
      </c>
      <c r="E465" s="41" t="s">
        <v>158</v>
      </c>
      <c r="F465" s="41"/>
      <c r="G465" s="41"/>
      <c r="H465" s="41" t="s">
        <v>924</v>
      </c>
      <c r="I465" s="88" t="s">
        <v>930</v>
      </c>
      <c r="J465" s="283">
        <v>1050</v>
      </c>
      <c r="K465" s="284">
        <f t="shared" si="51"/>
        <v>1.0126343788097087</v>
      </c>
      <c r="L465" s="285">
        <f t="shared" si="53"/>
        <v>1.2634378809708687E-2</v>
      </c>
      <c r="M465" s="283">
        <f t="shared" si="50"/>
        <v>1063.2660977501941</v>
      </c>
      <c r="N465" s="283" t="s">
        <v>939</v>
      </c>
      <c r="O465" s="253">
        <f t="shared" si="52"/>
        <v>1063.2660977501941</v>
      </c>
      <c r="P465" s="283" t="s">
        <v>918</v>
      </c>
      <c r="Q465" s="283">
        <f t="shared" si="48"/>
        <v>1254.6539953452291</v>
      </c>
      <c r="R465" s="283">
        <f t="shared" si="49"/>
        <v>1339.7152831652447</v>
      </c>
      <c r="S465" s="33"/>
      <c r="T465" s="33"/>
    </row>
    <row r="466" spans="2:20" ht="25.5" customHeight="1" x14ac:dyDescent="0.25">
      <c r="B466" s="34">
        <v>459</v>
      </c>
      <c r="C466" s="41" t="s">
        <v>1524</v>
      </c>
      <c r="D466" s="251" t="s">
        <v>1525</v>
      </c>
      <c r="E466" s="41" t="s">
        <v>158</v>
      </c>
      <c r="F466" s="41"/>
      <c r="G466" s="41"/>
      <c r="H466" s="41" t="s">
        <v>924</v>
      </c>
      <c r="I466" s="88" t="s">
        <v>930</v>
      </c>
      <c r="J466" s="283">
        <v>980</v>
      </c>
      <c r="K466" s="284">
        <f t="shared" si="51"/>
        <v>1.0126343788097087</v>
      </c>
      <c r="L466" s="285">
        <f t="shared" si="53"/>
        <v>1.2634378809708687E-2</v>
      </c>
      <c r="M466" s="283">
        <f t="shared" si="50"/>
        <v>992.38169123351452</v>
      </c>
      <c r="N466" s="283" t="s">
        <v>939</v>
      </c>
      <c r="O466" s="253">
        <f t="shared" si="52"/>
        <v>992.38169123351452</v>
      </c>
      <c r="P466" s="283" t="s">
        <v>918</v>
      </c>
      <c r="Q466" s="283">
        <f t="shared" si="48"/>
        <v>1171.010395655547</v>
      </c>
      <c r="R466" s="283">
        <f t="shared" si="49"/>
        <v>1250.4009309542282</v>
      </c>
      <c r="S466" s="33"/>
      <c r="T466" s="33"/>
    </row>
    <row r="467" spans="2:20" ht="25.5" customHeight="1" x14ac:dyDescent="0.25">
      <c r="B467" s="34">
        <v>460</v>
      </c>
      <c r="C467" s="41" t="s">
        <v>1526</v>
      </c>
      <c r="D467" s="251" t="s">
        <v>1527</v>
      </c>
      <c r="E467" s="41" t="s">
        <v>158</v>
      </c>
      <c r="F467" s="41"/>
      <c r="G467" s="41"/>
      <c r="H467" s="41" t="s">
        <v>924</v>
      </c>
      <c r="I467" s="88" t="s">
        <v>930</v>
      </c>
      <c r="J467" s="283">
        <v>950</v>
      </c>
      <c r="K467" s="284">
        <f t="shared" si="51"/>
        <v>1.0126343788097087</v>
      </c>
      <c r="L467" s="285">
        <f t="shared" si="53"/>
        <v>1.2634378809708687E-2</v>
      </c>
      <c r="M467" s="283">
        <f t="shared" si="50"/>
        <v>962.00265986922329</v>
      </c>
      <c r="N467" s="283" t="s">
        <v>939</v>
      </c>
      <c r="O467" s="253">
        <f t="shared" si="52"/>
        <v>962.00265986922329</v>
      </c>
      <c r="P467" s="283" t="s">
        <v>918</v>
      </c>
      <c r="Q467" s="283">
        <f t="shared" si="48"/>
        <v>1135.1631386456834</v>
      </c>
      <c r="R467" s="283">
        <f t="shared" si="49"/>
        <v>1212.1233514352214</v>
      </c>
      <c r="S467" s="33"/>
      <c r="T467" s="33"/>
    </row>
    <row r="468" spans="2:20" ht="25.5" customHeight="1" x14ac:dyDescent="0.25">
      <c r="B468" s="34">
        <v>461</v>
      </c>
      <c r="C468" s="41" t="s">
        <v>466</v>
      </c>
      <c r="D468" s="251" t="s">
        <v>324</v>
      </c>
      <c r="E468" s="41" t="s">
        <v>158</v>
      </c>
      <c r="F468" s="41"/>
      <c r="G468" s="41"/>
      <c r="H468" s="41" t="s">
        <v>924</v>
      </c>
      <c r="I468" s="88" t="s">
        <v>930</v>
      </c>
      <c r="J468" s="283">
        <v>800</v>
      </c>
      <c r="K468" s="284">
        <f t="shared" si="51"/>
        <v>1.0126343788097087</v>
      </c>
      <c r="L468" s="285">
        <f t="shared" si="53"/>
        <v>1.2634378809708687E-2</v>
      </c>
      <c r="M468" s="283">
        <f t="shared" si="50"/>
        <v>810.10750304776695</v>
      </c>
      <c r="N468" s="283" t="s">
        <v>939</v>
      </c>
      <c r="O468" s="253">
        <f t="shared" si="52"/>
        <v>810.10750304776695</v>
      </c>
      <c r="P468" s="283" t="s">
        <v>918</v>
      </c>
      <c r="Q468" s="283">
        <f t="shared" si="48"/>
        <v>955.92685359636494</v>
      </c>
      <c r="R468" s="283">
        <f t="shared" si="49"/>
        <v>1020.7354538401863</v>
      </c>
      <c r="S468" s="33"/>
      <c r="T468" s="33"/>
    </row>
    <row r="469" spans="2:20" ht="15" customHeight="1" x14ac:dyDescent="0.25">
      <c r="B469" s="34">
        <v>462</v>
      </c>
      <c r="C469" s="72">
        <v>128.1</v>
      </c>
      <c r="D469" s="251" t="s">
        <v>1528</v>
      </c>
      <c r="E469" s="41" t="s">
        <v>158</v>
      </c>
      <c r="F469" s="41"/>
      <c r="G469" s="41"/>
      <c r="H469" s="41" t="s">
        <v>915</v>
      </c>
      <c r="I469" s="88" t="s">
        <v>930</v>
      </c>
      <c r="J469" s="283">
        <v>704</v>
      </c>
      <c r="K469" s="284">
        <f t="shared" si="51"/>
        <v>1.0126343788097087</v>
      </c>
      <c r="L469" s="285">
        <f t="shared" si="53"/>
        <v>1.2634378809708687E-2</v>
      </c>
      <c r="M469" s="283">
        <f t="shared" si="50"/>
        <v>712.89460268203493</v>
      </c>
      <c r="N469" s="283" t="s">
        <v>931</v>
      </c>
      <c r="O469" s="253">
        <f t="shared" si="52"/>
        <v>712.89460268203493</v>
      </c>
      <c r="P469" s="283" t="s">
        <v>918</v>
      </c>
      <c r="Q469" s="283">
        <f t="shared" si="48"/>
        <v>841.21563116480115</v>
      </c>
      <c r="R469" s="283">
        <f t="shared" si="49"/>
        <v>898.24719937936402</v>
      </c>
      <c r="S469" s="33"/>
      <c r="T469" s="33"/>
    </row>
    <row r="470" spans="2:20" ht="15" customHeight="1" x14ac:dyDescent="0.25">
      <c r="B470" s="34">
        <v>463</v>
      </c>
      <c r="C470" s="72">
        <v>128.19999999999999</v>
      </c>
      <c r="D470" s="251" t="s">
        <v>1529</v>
      </c>
      <c r="E470" s="41" t="s">
        <v>158</v>
      </c>
      <c r="F470" s="41"/>
      <c r="G470" s="41"/>
      <c r="H470" s="41" t="s">
        <v>915</v>
      </c>
      <c r="I470" s="88" t="s">
        <v>930</v>
      </c>
      <c r="J470" s="283">
        <v>700</v>
      </c>
      <c r="K470" s="284">
        <f t="shared" si="51"/>
        <v>1.0126343788097087</v>
      </c>
      <c r="L470" s="285">
        <f t="shared" si="53"/>
        <v>1.2634378809708687E-2</v>
      </c>
      <c r="M470" s="283">
        <f t="shared" si="50"/>
        <v>708.8440651667961</v>
      </c>
      <c r="N470" s="283" t="s">
        <v>1530</v>
      </c>
      <c r="O470" s="253">
        <f t="shared" si="52"/>
        <v>708.8440651667961</v>
      </c>
      <c r="P470" s="283" t="s">
        <v>918</v>
      </c>
      <c r="Q470" s="283">
        <f t="shared" si="48"/>
        <v>836.43599689681935</v>
      </c>
      <c r="R470" s="283">
        <f t="shared" si="49"/>
        <v>893.14352211016308</v>
      </c>
      <c r="S470" s="33"/>
      <c r="T470" s="33"/>
    </row>
    <row r="471" spans="2:20" customFormat="1" ht="25.5" customHeight="1" x14ac:dyDescent="0.25">
      <c r="B471" s="34">
        <v>464</v>
      </c>
      <c r="C471" s="84" t="s">
        <v>1531</v>
      </c>
      <c r="D471" s="301" t="s">
        <v>1532</v>
      </c>
      <c r="E471" s="306" t="s">
        <v>157</v>
      </c>
      <c r="F471" s="41"/>
      <c r="G471" s="41"/>
      <c r="H471" s="41" t="s">
        <v>924</v>
      </c>
      <c r="I471" s="299" t="s">
        <v>916</v>
      </c>
      <c r="J471" s="283">
        <v>3200000</v>
      </c>
      <c r="K471" s="284">
        <f t="shared" si="51"/>
        <v>1</v>
      </c>
      <c r="L471" s="285">
        <v>0</v>
      </c>
      <c r="M471" s="283">
        <f t="shared" si="50"/>
        <v>3200000</v>
      </c>
      <c r="N471" s="89" t="s">
        <v>1533</v>
      </c>
      <c r="O471" s="253">
        <f t="shared" si="52"/>
        <v>3200000</v>
      </c>
      <c r="P471" s="283" t="s">
        <v>918</v>
      </c>
      <c r="Q471" s="283">
        <f t="shared" si="48"/>
        <v>3776000</v>
      </c>
      <c r="R471" s="283">
        <f t="shared" si="49"/>
        <v>4032000</v>
      </c>
      <c r="S471" s="33"/>
    </row>
    <row r="472" spans="2:20" customFormat="1" ht="15" customHeight="1" x14ac:dyDescent="0.25">
      <c r="B472" s="34">
        <v>465</v>
      </c>
      <c r="C472" s="84" t="s">
        <v>1534</v>
      </c>
      <c r="D472" s="301" t="s">
        <v>1535</v>
      </c>
      <c r="E472" s="306" t="s">
        <v>157</v>
      </c>
      <c r="F472" s="41"/>
      <c r="G472" s="41"/>
      <c r="H472" s="41" t="s">
        <v>924</v>
      </c>
      <c r="I472" s="299" t="s">
        <v>916</v>
      </c>
      <c r="J472" s="283">
        <v>46000</v>
      </c>
      <c r="K472" s="284">
        <f t="shared" si="51"/>
        <v>1</v>
      </c>
      <c r="L472" s="285">
        <v>0</v>
      </c>
      <c r="M472" s="283">
        <f t="shared" si="50"/>
        <v>46000</v>
      </c>
      <c r="N472" s="89" t="s">
        <v>1010</v>
      </c>
      <c r="O472" s="253">
        <f t="shared" si="52"/>
        <v>46000</v>
      </c>
      <c r="P472" s="283" t="s">
        <v>918</v>
      </c>
      <c r="Q472" s="283">
        <f t="shared" si="48"/>
        <v>54280</v>
      </c>
      <c r="R472" s="283">
        <f t="shared" si="49"/>
        <v>57960</v>
      </c>
      <c r="S472" s="33"/>
    </row>
    <row r="473" spans="2:20" customFormat="1" ht="15" customHeight="1" x14ac:dyDescent="0.25">
      <c r="B473" s="34">
        <v>466</v>
      </c>
      <c r="C473" s="41" t="s">
        <v>1536</v>
      </c>
      <c r="D473" s="301" t="s">
        <v>1537</v>
      </c>
      <c r="E473" s="306" t="s">
        <v>157</v>
      </c>
      <c r="F473" s="41"/>
      <c r="G473" s="41"/>
      <c r="H473" s="41" t="s">
        <v>915</v>
      </c>
      <c r="I473" s="299" t="s">
        <v>916</v>
      </c>
      <c r="J473" s="283">
        <v>2154727.777777778</v>
      </c>
      <c r="K473" s="284">
        <f t="shared" si="51"/>
        <v>1.0267365704887732</v>
      </c>
      <c r="L473" s="285">
        <f>$L$3</f>
        <v>2.6736570488773183E-2</v>
      </c>
      <c r="M473" s="283">
        <f t="shared" si="50"/>
        <v>2212337.8088924512</v>
      </c>
      <c r="N473" s="283" t="s">
        <v>933</v>
      </c>
      <c r="O473" s="253">
        <f t="shared" si="52"/>
        <v>2212337.8088924512</v>
      </c>
      <c r="P473" s="283" t="s">
        <v>918</v>
      </c>
      <c r="Q473" s="283">
        <f t="shared" si="48"/>
        <v>2610558.6144930925</v>
      </c>
      <c r="R473" s="283">
        <f t="shared" si="49"/>
        <v>2787545.6392044886</v>
      </c>
    </row>
    <row r="474" spans="2:20" customFormat="1" ht="51" customHeight="1" x14ac:dyDescent="0.25">
      <c r="B474" s="34">
        <v>467</v>
      </c>
      <c r="C474" s="84" t="s">
        <v>1538</v>
      </c>
      <c r="D474" s="301" t="s">
        <v>1539</v>
      </c>
      <c r="E474" s="306" t="s">
        <v>157</v>
      </c>
      <c r="F474" s="41"/>
      <c r="G474" s="41"/>
      <c r="H474" s="41" t="s">
        <v>924</v>
      </c>
      <c r="I474" s="299" t="s">
        <v>916</v>
      </c>
      <c r="J474" s="283">
        <v>60000</v>
      </c>
      <c r="K474" s="284">
        <f t="shared" si="51"/>
        <v>1</v>
      </c>
      <c r="L474" s="285">
        <v>0</v>
      </c>
      <c r="M474" s="283">
        <f t="shared" si="50"/>
        <v>60000</v>
      </c>
      <c r="N474" s="89" t="s">
        <v>1540</v>
      </c>
      <c r="O474" s="253">
        <f t="shared" si="52"/>
        <v>60000</v>
      </c>
      <c r="P474" s="283" t="s">
        <v>918</v>
      </c>
      <c r="Q474" s="283">
        <f t="shared" si="48"/>
        <v>70800</v>
      </c>
      <c r="R474" s="283">
        <f t="shared" si="49"/>
        <v>75600</v>
      </c>
      <c r="S474" s="33"/>
    </row>
    <row r="475" spans="2:20" customFormat="1" ht="51" customHeight="1" x14ac:dyDescent="0.25">
      <c r="B475" s="34">
        <v>468</v>
      </c>
      <c r="C475" s="84" t="s">
        <v>1541</v>
      </c>
      <c r="D475" s="301" t="s">
        <v>1542</v>
      </c>
      <c r="E475" s="306" t="s">
        <v>157</v>
      </c>
      <c r="F475" s="41"/>
      <c r="G475" s="41"/>
      <c r="H475" s="41" t="s">
        <v>924</v>
      </c>
      <c r="I475" s="299" t="s">
        <v>916</v>
      </c>
      <c r="J475" s="283">
        <v>100000</v>
      </c>
      <c r="K475" s="284">
        <f t="shared" si="51"/>
        <v>1</v>
      </c>
      <c r="L475" s="285">
        <v>0</v>
      </c>
      <c r="M475" s="283">
        <f t="shared" si="50"/>
        <v>100000</v>
      </c>
      <c r="N475" s="89" t="s">
        <v>1540</v>
      </c>
      <c r="O475" s="253">
        <f t="shared" si="52"/>
        <v>100000</v>
      </c>
      <c r="P475" s="283" t="s">
        <v>918</v>
      </c>
      <c r="Q475" s="283">
        <f t="shared" si="48"/>
        <v>118000</v>
      </c>
      <c r="R475" s="283">
        <f t="shared" si="49"/>
        <v>126000</v>
      </c>
      <c r="S475" s="33"/>
    </row>
    <row r="476" spans="2:20" customFormat="1" ht="38.25" customHeight="1" x14ac:dyDescent="0.25">
      <c r="B476" s="34">
        <v>469</v>
      </c>
      <c r="C476" s="84" t="s">
        <v>1543</v>
      </c>
      <c r="D476" s="301" t="s">
        <v>1544</v>
      </c>
      <c r="E476" s="306" t="s">
        <v>157</v>
      </c>
      <c r="F476" s="41"/>
      <c r="G476" s="41"/>
      <c r="H476" s="41" t="s">
        <v>924</v>
      </c>
      <c r="I476" s="299" t="s">
        <v>916</v>
      </c>
      <c r="J476" s="283">
        <v>110000</v>
      </c>
      <c r="K476" s="284">
        <f t="shared" si="51"/>
        <v>1</v>
      </c>
      <c r="L476" s="285">
        <v>0</v>
      </c>
      <c r="M476" s="283">
        <f t="shared" si="50"/>
        <v>110000</v>
      </c>
      <c r="N476" s="89" t="s">
        <v>1540</v>
      </c>
      <c r="O476" s="253">
        <f t="shared" si="52"/>
        <v>110000</v>
      </c>
      <c r="P476" s="283" t="s">
        <v>918</v>
      </c>
      <c r="Q476" s="283">
        <f t="shared" si="48"/>
        <v>129800</v>
      </c>
      <c r="R476" s="283">
        <f t="shared" si="49"/>
        <v>138600</v>
      </c>
      <c r="S476" s="33"/>
    </row>
    <row r="477" spans="2:20" customFormat="1" ht="25.5" customHeight="1" x14ac:dyDescent="0.25">
      <c r="B477" s="34">
        <v>470</v>
      </c>
      <c r="C477" s="84" t="s">
        <v>1545</v>
      </c>
      <c r="D477" s="301" t="s">
        <v>1546</v>
      </c>
      <c r="E477" s="306" t="s">
        <v>157</v>
      </c>
      <c r="F477" s="41"/>
      <c r="G477" s="41"/>
      <c r="H477" s="41" t="s">
        <v>924</v>
      </c>
      <c r="I477" s="299" t="s">
        <v>916</v>
      </c>
      <c r="J477" s="283">
        <v>75826</v>
      </c>
      <c r="K477" s="284">
        <f t="shared" si="51"/>
        <v>1</v>
      </c>
      <c r="L477" s="285">
        <v>0</v>
      </c>
      <c r="M477" s="283">
        <f t="shared" si="50"/>
        <v>75826</v>
      </c>
      <c r="N477" s="89" t="s">
        <v>1010</v>
      </c>
      <c r="O477" s="253">
        <f t="shared" si="52"/>
        <v>75826</v>
      </c>
      <c r="P477" s="283" t="s">
        <v>918</v>
      </c>
      <c r="Q477" s="283">
        <f t="shared" si="48"/>
        <v>89474.68</v>
      </c>
      <c r="R477" s="283">
        <f t="shared" si="49"/>
        <v>95540.76</v>
      </c>
      <c r="S477" s="33"/>
    </row>
    <row r="478" spans="2:20" customFormat="1" ht="25.5" customHeight="1" x14ac:dyDescent="0.25">
      <c r="B478" s="34">
        <v>471</v>
      </c>
      <c r="C478" s="84">
        <v>159.1</v>
      </c>
      <c r="D478" s="301" t="s">
        <v>1547</v>
      </c>
      <c r="E478" s="306" t="s">
        <v>157</v>
      </c>
      <c r="F478" s="41"/>
      <c r="G478" s="41"/>
      <c r="H478" s="41" t="s">
        <v>915</v>
      </c>
      <c r="I478" s="299" t="s">
        <v>916</v>
      </c>
      <c r="J478" s="283">
        <v>60375</v>
      </c>
      <c r="K478" s="284">
        <f t="shared" si="51"/>
        <v>1.0657773317498953</v>
      </c>
      <c r="L478" s="285">
        <f>$L$2</f>
        <v>6.5777331749895404E-2</v>
      </c>
      <c r="M478" s="283">
        <f t="shared" si="50"/>
        <v>64346.306404399926</v>
      </c>
      <c r="N478" s="283" t="s">
        <v>936</v>
      </c>
      <c r="O478" s="253">
        <f t="shared" si="52"/>
        <v>64346.306404399926</v>
      </c>
      <c r="P478" s="283" t="s">
        <v>918</v>
      </c>
      <c r="Q478" s="283">
        <f t="shared" ref="Q478:Q509" si="54">M478*1.18</f>
        <v>75928.641557191906</v>
      </c>
      <c r="R478" s="283">
        <f t="shared" ref="R478:R509" si="55">M478*1.26</f>
        <v>81076.346069543913</v>
      </c>
    </row>
    <row r="479" spans="2:20" customFormat="1" ht="25.5" customHeight="1" x14ac:dyDescent="0.25">
      <c r="B479" s="34">
        <v>472</v>
      </c>
      <c r="C479" s="41" t="s">
        <v>1548</v>
      </c>
      <c r="D479" s="301" t="s">
        <v>1549</v>
      </c>
      <c r="E479" s="306" t="s">
        <v>157</v>
      </c>
      <c r="F479" s="41"/>
      <c r="G479" s="41"/>
      <c r="H479" s="41" t="s">
        <v>924</v>
      </c>
      <c r="I479" s="299" t="s">
        <v>916</v>
      </c>
      <c r="J479" s="283">
        <v>120000</v>
      </c>
      <c r="K479" s="284">
        <f t="shared" si="51"/>
        <v>1</v>
      </c>
      <c r="L479" s="285">
        <v>0</v>
      </c>
      <c r="M479" s="283">
        <f t="shared" si="50"/>
        <v>120000</v>
      </c>
      <c r="N479" s="283" t="s">
        <v>1550</v>
      </c>
      <c r="O479" s="253">
        <f t="shared" si="52"/>
        <v>120000</v>
      </c>
      <c r="P479" s="283" t="s">
        <v>918</v>
      </c>
      <c r="Q479" s="283">
        <f t="shared" si="54"/>
        <v>141600</v>
      </c>
      <c r="R479" s="283">
        <f t="shared" si="55"/>
        <v>151200</v>
      </c>
      <c r="S479" s="33"/>
    </row>
    <row r="480" spans="2:20" customFormat="1" ht="25.5" customHeight="1" x14ac:dyDescent="0.25">
      <c r="B480" s="252">
        <v>473</v>
      </c>
      <c r="C480" s="84" t="s">
        <v>1551</v>
      </c>
      <c r="D480" s="42" t="s">
        <v>1552</v>
      </c>
      <c r="E480" s="41" t="s">
        <v>157</v>
      </c>
      <c r="F480" s="41"/>
      <c r="G480" s="41"/>
      <c r="H480" s="41" t="s">
        <v>924</v>
      </c>
      <c r="I480" s="252" t="s">
        <v>916</v>
      </c>
      <c r="J480" s="283">
        <v>6000</v>
      </c>
      <c r="K480" s="284">
        <f t="shared" si="51"/>
        <v>1.0657773317498953</v>
      </c>
      <c r="L480" s="285">
        <f>$L$2</f>
        <v>6.5777331749895404E-2</v>
      </c>
      <c r="M480" s="283">
        <f t="shared" si="50"/>
        <v>6394.6639904993717</v>
      </c>
      <c r="N480" s="283" t="s">
        <v>1247</v>
      </c>
      <c r="O480" s="253">
        <f t="shared" si="52"/>
        <v>6394.6639904993717</v>
      </c>
      <c r="P480" s="283" t="s">
        <v>918</v>
      </c>
      <c r="Q480" s="283">
        <f t="shared" si="54"/>
        <v>7545.7035087892582</v>
      </c>
      <c r="R480" s="283">
        <f t="shared" si="55"/>
        <v>8057.276628029208</v>
      </c>
      <c r="S480" s="33"/>
      <c r="T480" s="33">
        <f>COUNT(#REF!)</f>
        <v>0</v>
      </c>
    </row>
    <row r="481" spans="2:20" customFormat="1" ht="15" customHeight="1" x14ac:dyDescent="0.25">
      <c r="B481" s="34">
        <v>474</v>
      </c>
      <c r="C481" s="84" t="s">
        <v>1553</v>
      </c>
      <c r="D481" s="42" t="s">
        <v>1554</v>
      </c>
      <c r="E481" s="41" t="s">
        <v>157</v>
      </c>
      <c r="F481" s="41"/>
      <c r="G481" s="41"/>
      <c r="H481" s="41" t="s">
        <v>924</v>
      </c>
      <c r="I481" s="252" t="s">
        <v>930</v>
      </c>
      <c r="J481" s="283">
        <v>1815.0000000000002</v>
      </c>
      <c r="K481" s="284">
        <f t="shared" si="51"/>
        <v>1.0657773317498953</v>
      </c>
      <c r="L481" s="285">
        <f>$L$2</f>
        <v>6.5777331749895404E-2</v>
      </c>
      <c r="M481" s="283">
        <f t="shared" si="50"/>
        <v>1934.3858571260603</v>
      </c>
      <c r="N481" s="88" t="s">
        <v>1107</v>
      </c>
      <c r="O481" s="253">
        <f t="shared" si="52"/>
        <v>1934.3858571260603</v>
      </c>
      <c r="P481" s="283" t="s">
        <v>918</v>
      </c>
      <c r="Q481" s="283">
        <f t="shared" si="54"/>
        <v>2282.5753114087511</v>
      </c>
      <c r="R481" s="283">
        <f t="shared" si="55"/>
        <v>2437.3261799788361</v>
      </c>
      <c r="S481" s="259"/>
      <c r="T481" s="259">
        <f>COUNT(#REF!)</f>
        <v>0</v>
      </c>
    </row>
    <row r="482" spans="2:20" customFormat="1" ht="15" customHeight="1" x14ac:dyDescent="0.25">
      <c r="B482" s="252">
        <v>475</v>
      </c>
      <c r="C482" s="84" t="s">
        <v>1555</v>
      </c>
      <c r="D482" s="42" t="s">
        <v>1556</v>
      </c>
      <c r="E482" s="41" t="s">
        <v>157</v>
      </c>
      <c r="F482" s="41"/>
      <c r="G482" s="41"/>
      <c r="H482" s="41" t="s">
        <v>924</v>
      </c>
      <c r="I482" s="252" t="s">
        <v>916</v>
      </c>
      <c r="J482" s="283">
        <v>27225.000000000004</v>
      </c>
      <c r="K482" s="284">
        <f t="shared" si="51"/>
        <v>1.0657773317498953</v>
      </c>
      <c r="L482" s="285">
        <f>$L$2</f>
        <v>6.5777331749895404E-2</v>
      </c>
      <c r="M482" s="283">
        <f t="shared" si="50"/>
        <v>29015.787856890904</v>
      </c>
      <c r="N482" s="88" t="s">
        <v>1107</v>
      </c>
      <c r="O482" s="253">
        <f t="shared" si="52"/>
        <v>29015.787856890904</v>
      </c>
      <c r="P482" s="283" t="s">
        <v>918</v>
      </c>
      <c r="Q482" s="283">
        <f t="shared" si="54"/>
        <v>34238.629671131268</v>
      </c>
      <c r="R482" s="283">
        <f t="shared" si="55"/>
        <v>36559.892699682539</v>
      </c>
      <c r="S482" s="259"/>
      <c r="T482" s="259">
        <f>COUNT(#REF!)</f>
        <v>0</v>
      </c>
    </row>
    <row r="483" spans="2:20" customFormat="1" ht="25.5" customHeight="1" x14ac:dyDescent="0.25">
      <c r="B483" s="34">
        <v>476</v>
      </c>
      <c r="C483" s="34" t="s">
        <v>1254</v>
      </c>
      <c r="D483" s="42" t="s">
        <v>1557</v>
      </c>
      <c r="E483" s="41" t="s">
        <v>157</v>
      </c>
      <c r="F483" s="41"/>
      <c r="G483" s="41"/>
      <c r="H483" s="41" t="s">
        <v>924</v>
      </c>
      <c r="I483" s="252" t="s">
        <v>916</v>
      </c>
      <c r="J483" s="283">
        <v>17500</v>
      </c>
      <c r="K483" s="284">
        <f t="shared" si="51"/>
        <v>1</v>
      </c>
      <c r="L483" s="285">
        <v>0</v>
      </c>
      <c r="M483" s="283">
        <f t="shared" si="50"/>
        <v>17500</v>
      </c>
      <c r="N483" s="89" t="s">
        <v>1558</v>
      </c>
      <c r="O483" s="253">
        <f t="shared" si="52"/>
        <v>17500</v>
      </c>
      <c r="P483" s="283" t="s">
        <v>918</v>
      </c>
      <c r="Q483" s="283">
        <f t="shared" si="54"/>
        <v>20650</v>
      </c>
      <c r="R483" s="283">
        <f t="shared" si="55"/>
        <v>22050</v>
      </c>
      <c r="S483" s="259"/>
      <c r="T483" s="259"/>
    </row>
    <row r="484" spans="2:20" customFormat="1" ht="25.5" customHeight="1" x14ac:dyDescent="0.25">
      <c r="B484" s="252">
        <v>477</v>
      </c>
      <c r="C484" s="34" t="s">
        <v>1559</v>
      </c>
      <c r="D484" s="42" t="s">
        <v>1560</v>
      </c>
      <c r="E484" s="41" t="s">
        <v>157</v>
      </c>
      <c r="F484" s="41"/>
      <c r="G484" s="41"/>
      <c r="H484" s="41" t="s">
        <v>924</v>
      </c>
      <c r="I484" s="252" t="s">
        <v>916</v>
      </c>
      <c r="J484" s="283">
        <v>20500</v>
      </c>
      <c r="K484" s="284">
        <f t="shared" si="51"/>
        <v>1</v>
      </c>
      <c r="L484" s="285">
        <v>0</v>
      </c>
      <c r="M484" s="283">
        <f t="shared" si="50"/>
        <v>20500</v>
      </c>
      <c r="N484" s="89" t="s">
        <v>1558</v>
      </c>
      <c r="O484" s="253">
        <f t="shared" si="52"/>
        <v>20500</v>
      </c>
      <c r="P484" s="283" t="s">
        <v>918</v>
      </c>
      <c r="Q484" s="283">
        <f t="shared" si="54"/>
        <v>24190</v>
      </c>
      <c r="R484" s="283">
        <f t="shared" si="55"/>
        <v>25830</v>
      </c>
      <c r="S484" s="259"/>
      <c r="T484" s="259"/>
    </row>
    <row r="485" spans="2:20" customFormat="1" ht="25.5" customHeight="1" x14ac:dyDescent="0.25">
      <c r="B485" s="34">
        <v>478</v>
      </c>
      <c r="C485" s="34" t="s">
        <v>1561</v>
      </c>
      <c r="D485" s="42" t="s">
        <v>1562</v>
      </c>
      <c r="E485" s="41" t="s">
        <v>157</v>
      </c>
      <c r="F485" s="41"/>
      <c r="G485" s="41"/>
      <c r="H485" s="41" t="s">
        <v>924</v>
      </c>
      <c r="I485" s="252" t="s">
        <v>916</v>
      </c>
      <c r="J485" s="283">
        <v>27000</v>
      </c>
      <c r="K485" s="284">
        <f t="shared" si="51"/>
        <v>1</v>
      </c>
      <c r="L485" s="285">
        <v>0</v>
      </c>
      <c r="M485" s="283">
        <f t="shared" si="50"/>
        <v>27000</v>
      </c>
      <c r="N485" s="89" t="s">
        <v>1558</v>
      </c>
      <c r="O485" s="253">
        <f t="shared" si="52"/>
        <v>27000</v>
      </c>
      <c r="P485" s="283" t="s">
        <v>918</v>
      </c>
      <c r="Q485" s="283">
        <f t="shared" si="54"/>
        <v>31860</v>
      </c>
      <c r="R485" s="283">
        <f t="shared" si="55"/>
        <v>34020</v>
      </c>
      <c r="S485" s="259"/>
      <c r="T485" s="259"/>
    </row>
    <row r="486" spans="2:20" customFormat="1" ht="25.5" customHeight="1" x14ac:dyDescent="0.25">
      <c r="B486" s="252">
        <v>479</v>
      </c>
      <c r="C486" s="34" t="s">
        <v>1563</v>
      </c>
      <c r="D486" s="42" t="s">
        <v>1564</v>
      </c>
      <c r="E486" s="41" t="s">
        <v>157</v>
      </c>
      <c r="F486" s="41"/>
      <c r="G486" s="41"/>
      <c r="H486" s="41" t="s">
        <v>924</v>
      </c>
      <c r="I486" s="252" t="s">
        <v>916</v>
      </c>
      <c r="J486" s="283">
        <v>30000</v>
      </c>
      <c r="K486" s="284">
        <f t="shared" si="51"/>
        <v>1</v>
      </c>
      <c r="L486" s="285">
        <v>0</v>
      </c>
      <c r="M486" s="283">
        <f t="shared" si="50"/>
        <v>30000</v>
      </c>
      <c r="N486" s="89" t="s">
        <v>1558</v>
      </c>
      <c r="O486" s="253">
        <f t="shared" si="52"/>
        <v>30000</v>
      </c>
      <c r="P486" s="283" t="s">
        <v>918</v>
      </c>
      <c r="Q486" s="283">
        <f t="shared" si="54"/>
        <v>35400</v>
      </c>
      <c r="R486" s="283">
        <f t="shared" si="55"/>
        <v>37800</v>
      </c>
      <c r="S486" s="259"/>
      <c r="T486" s="259"/>
    </row>
    <row r="487" spans="2:20" customFormat="1" ht="15" customHeight="1" x14ac:dyDescent="0.25">
      <c r="B487" s="34">
        <v>480</v>
      </c>
      <c r="C487" s="84" t="s">
        <v>1565</v>
      </c>
      <c r="D487" s="301" t="s">
        <v>1566</v>
      </c>
      <c r="E487" s="306" t="s">
        <v>157</v>
      </c>
      <c r="F487" s="41"/>
      <c r="G487" s="41"/>
      <c r="H487" s="41" t="s">
        <v>924</v>
      </c>
      <c r="I487" s="299" t="s">
        <v>930</v>
      </c>
      <c r="J487" s="283">
        <v>2453</v>
      </c>
      <c r="K487" s="284">
        <f t="shared" si="51"/>
        <v>1</v>
      </c>
      <c r="L487" s="285">
        <v>0</v>
      </c>
      <c r="M487" s="283">
        <f t="shared" si="50"/>
        <v>2453</v>
      </c>
      <c r="N487" s="89" t="s">
        <v>1010</v>
      </c>
      <c r="O487" s="253">
        <f t="shared" si="52"/>
        <v>2453</v>
      </c>
      <c r="P487" s="283" t="s">
        <v>918</v>
      </c>
      <c r="Q487" s="283">
        <f t="shared" si="54"/>
        <v>2894.54</v>
      </c>
      <c r="R487" s="283">
        <f t="shared" si="55"/>
        <v>3090.78</v>
      </c>
      <c r="S487" s="33"/>
    </row>
    <row r="488" spans="2:20" customFormat="1" ht="25.5" customHeight="1" x14ac:dyDescent="0.25">
      <c r="B488" s="252">
        <v>481</v>
      </c>
      <c r="C488" s="84" t="s">
        <v>1567</v>
      </c>
      <c r="D488" s="42" t="s">
        <v>1568</v>
      </c>
      <c r="E488" s="41" t="s">
        <v>157</v>
      </c>
      <c r="F488" s="41"/>
      <c r="G488" s="41"/>
      <c r="H488" s="41" t="s">
        <v>924</v>
      </c>
      <c r="I488" s="252" t="s">
        <v>930</v>
      </c>
      <c r="J488" s="283">
        <v>2964.5000000000005</v>
      </c>
      <c r="K488" s="284">
        <f t="shared" si="51"/>
        <v>1.0657773317498953</v>
      </c>
      <c r="L488" s="285">
        <f>$L$2</f>
        <v>6.5777331749895404E-2</v>
      </c>
      <c r="M488" s="283">
        <f t="shared" si="50"/>
        <v>3159.4968999725652</v>
      </c>
      <c r="N488" s="88" t="s">
        <v>1107</v>
      </c>
      <c r="O488" s="253">
        <f t="shared" si="52"/>
        <v>3159.4968999725652</v>
      </c>
      <c r="P488" s="283" t="s">
        <v>918</v>
      </c>
      <c r="Q488" s="283">
        <f t="shared" si="54"/>
        <v>3728.2063419676269</v>
      </c>
      <c r="R488" s="283">
        <f t="shared" si="55"/>
        <v>3980.9660939654323</v>
      </c>
      <c r="S488" s="259"/>
      <c r="T488" s="259">
        <f>COUNT(#REF!)</f>
        <v>0</v>
      </c>
    </row>
    <row r="489" spans="2:20" customFormat="1" ht="15" customHeight="1" x14ac:dyDescent="0.25">
      <c r="B489" s="34">
        <v>482</v>
      </c>
      <c r="C489" s="84" t="s">
        <v>1569</v>
      </c>
      <c r="D489" s="42" t="s">
        <v>1570</v>
      </c>
      <c r="E489" s="41" t="s">
        <v>157</v>
      </c>
      <c r="F489" s="41"/>
      <c r="G489" s="41"/>
      <c r="H489" s="41" t="s">
        <v>924</v>
      </c>
      <c r="I489" s="252" t="s">
        <v>930</v>
      </c>
      <c r="J489" s="283">
        <v>1936.0000000000002</v>
      </c>
      <c r="K489" s="284">
        <f t="shared" si="51"/>
        <v>1.0657773317498953</v>
      </c>
      <c r="L489" s="285">
        <f>$L$2</f>
        <v>6.5777331749895404E-2</v>
      </c>
      <c r="M489" s="283">
        <f t="shared" si="50"/>
        <v>2063.3449142677978</v>
      </c>
      <c r="N489" s="88" t="s">
        <v>1107</v>
      </c>
      <c r="O489" s="253">
        <f t="shared" si="52"/>
        <v>2063.3449142677978</v>
      </c>
      <c r="P489" s="283" t="s">
        <v>918</v>
      </c>
      <c r="Q489" s="283">
        <f t="shared" si="54"/>
        <v>2434.7469988360012</v>
      </c>
      <c r="R489" s="283">
        <f t="shared" si="55"/>
        <v>2599.8145919774252</v>
      </c>
      <c r="S489" s="259"/>
      <c r="T489" s="259">
        <f>COUNT(#REF!)</f>
        <v>0</v>
      </c>
    </row>
    <row r="490" spans="2:20" customFormat="1" ht="15" customHeight="1" x14ac:dyDescent="0.25">
      <c r="B490" s="252">
        <v>483</v>
      </c>
      <c r="C490" s="84" t="s">
        <v>1571</v>
      </c>
      <c r="D490" s="42" t="s">
        <v>1572</v>
      </c>
      <c r="E490" s="41" t="s">
        <v>158</v>
      </c>
      <c r="F490" s="41"/>
      <c r="G490" s="41"/>
      <c r="H490" s="41" t="s">
        <v>924</v>
      </c>
      <c r="I490" s="252" t="s">
        <v>930</v>
      </c>
      <c r="J490" s="283">
        <v>605</v>
      </c>
      <c r="K490" s="284">
        <f t="shared" si="51"/>
        <v>1.0274373102440122</v>
      </c>
      <c r="L490" s="285">
        <f>$V$9</f>
        <v>2.7437310244012116E-2</v>
      </c>
      <c r="M490" s="283">
        <f t="shared" si="50"/>
        <v>621.59957269762742</v>
      </c>
      <c r="N490" s="88" t="s">
        <v>1107</v>
      </c>
      <c r="O490" s="253">
        <f t="shared" si="52"/>
        <v>621.59957269762742</v>
      </c>
      <c r="P490" s="283" t="s">
        <v>918</v>
      </c>
      <c r="Q490" s="283">
        <f t="shared" si="54"/>
        <v>733.4874957832003</v>
      </c>
      <c r="R490" s="283">
        <f t="shared" si="55"/>
        <v>783.21546159901061</v>
      </c>
      <c r="S490" s="259"/>
      <c r="T490" s="259">
        <f>COUNT(#REF!)</f>
        <v>0</v>
      </c>
    </row>
    <row r="491" spans="2:20" customFormat="1" ht="25.5" customHeight="1" x14ac:dyDescent="0.25">
      <c r="B491" s="34">
        <v>484</v>
      </c>
      <c r="C491" s="41" t="s">
        <v>1573</v>
      </c>
      <c r="D491" s="42" t="s">
        <v>1574</v>
      </c>
      <c r="E491" s="41" t="s">
        <v>158</v>
      </c>
      <c r="F491" s="41"/>
      <c r="G491" s="41"/>
      <c r="H491" s="41" t="s">
        <v>924</v>
      </c>
      <c r="I491" s="252" t="s">
        <v>930</v>
      </c>
      <c r="J491" s="283">
        <v>208.95</v>
      </c>
      <c r="K491" s="284">
        <f t="shared" si="51"/>
        <v>1.0657773317498953</v>
      </c>
      <c r="L491" s="285">
        <f t="shared" ref="L491:L508" si="56">$L$2</f>
        <v>6.5777331749895404E-2</v>
      </c>
      <c r="M491" s="283">
        <f t="shared" si="50"/>
        <v>222.69417346914062</v>
      </c>
      <c r="N491" s="283" t="s">
        <v>1247</v>
      </c>
      <c r="O491" s="253">
        <f t="shared" si="52"/>
        <v>222.69417346914062</v>
      </c>
      <c r="P491" s="283" t="s">
        <v>918</v>
      </c>
      <c r="Q491" s="283">
        <f t="shared" si="54"/>
        <v>262.77912469358591</v>
      </c>
      <c r="R491" s="283">
        <f t="shared" si="55"/>
        <v>280.59465857111718</v>
      </c>
      <c r="S491" s="259"/>
      <c r="T491" s="259">
        <f>COUNT(#REF!)</f>
        <v>0</v>
      </c>
    </row>
    <row r="492" spans="2:20" customFormat="1" ht="25.5" customHeight="1" x14ac:dyDescent="0.25">
      <c r="B492" s="252">
        <v>485</v>
      </c>
      <c r="C492" s="41" t="s">
        <v>1575</v>
      </c>
      <c r="D492" s="42" t="s">
        <v>1576</v>
      </c>
      <c r="E492" s="41" t="s">
        <v>158</v>
      </c>
      <c r="F492" s="41"/>
      <c r="G492" s="41"/>
      <c r="H492" s="41" t="s">
        <v>924</v>
      </c>
      <c r="I492" s="252" t="s">
        <v>930</v>
      </c>
      <c r="J492" s="283">
        <v>40.950000000000003</v>
      </c>
      <c r="K492" s="284">
        <f t="shared" si="51"/>
        <v>1.0657773317498953</v>
      </c>
      <c r="L492" s="285">
        <f t="shared" si="56"/>
        <v>6.5777331749895404E-2</v>
      </c>
      <c r="M492" s="283">
        <f t="shared" si="50"/>
        <v>43.643581735158214</v>
      </c>
      <c r="N492" s="283" t="s">
        <v>1247</v>
      </c>
      <c r="O492" s="253">
        <f t="shared" si="52"/>
        <v>43.643581735158214</v>
      </c>
      <c r="P492" s="283" t="s">
        <v>918</v>
      </c>
      <c r="Q492" s="283">
        <f t="shared" si="54"/>
        <v>51.499426447486691</v>
      </c>
      <c r="R492" s="283">
        <f t="shared" si="55"/>
        <v>54.99091298629935</v>
      </c>
      <c r="S492" s="259"/>
      <c r="T492" s="259">
        <f>COUNT(#REF!)</f>
        <v>0</v>
      </c>
    </row>
    <row r="493" spans="2:20" customFormat="1" ht="25.5" customHeight="1" x14ac:dyDescent="0.25">
      <c r="B493" s="34">
        <v>486</v>
      </c>
      <c r="C493" s="41" t="s">
        <v>1577</v>
      </c>
      <c r="D493" s="42" t="s">
        <v>1578</v>
      </c>
      <c r="E493" s="41" t="s">
        <v>157</v>
      </c>
      <c r="F493" s="41"/>
      <c r="G493" s="41"/>
      <c r="H493" s="41" t="s">
        <v>924</v>
      </c>
      <c r="I493" s="252" t="s">
        <v>930</v>
      </c>
      <c r="J493" s="283">
        <v>42</v>
      </c>
      <c r="K493" s="284">
        <f t="shared" si="51"/>
        <v>1.0657773317498953</v>
      </c>
      <c r="L493" s="285">
        <f t="shared" si="56"/>
        <v>6.5777331749895404E-2</v>
      </c>
      <c r="M493" s="283">
        <f t="shared" si="50"/>
        <v>44.7626479334956</v>
      </c>
      <c r="N493" s="283" t="s">
        <v>1247</v>
      </c>
      <c r="O493" s="253">
        <f t="shared" si="52"/>
        <v>44.7626479334956</v>
      </c>
      <c r="P493" s="283" t="s">
        <v>918</v>
      </c>
      <c r="Q493" s="283">
        <f t="shared" si="54"/>
        <v>52.819924561524807</v>
      </c>
      <c r="R493" s="283">
        <f t="shared" si="55"/>
        <v>56.400936396204457</v>
      </c>
      <c r="S493" s="259"/>
      <c r="T493" s="259">
        <f>COUNT(#REF!)</f>
        <v>0</v>
      </c>
    </row>
    <row r="494" spans="2:20" customFormat="1" ht="25.5" customHeight="1" x14ac:dyDescent="0.25">
      <c r="B494" s="252">
        <v>487</v>
      </c>
      <c r="C494" s="41" t="s">
        <v>1579</v>
      </c>
      <c r="D494" s="42" t="s">
        <v>1580</v>
      </c>
      <c r="E494" s="41" t="s">
        <v>157</v>
      </c>
      <c r="F494" s="41"/>
      <c r="G494" s="41"/>
      <c r="H494" s="41" t="s">
        <v>924</v>
      </c>
      <c r="I494" s="252" t="s">
        <v>930</v>
      </c>
      <c r="J494" s="283">
        <v>149.1</v>
      </c>
      <c r="K494" s="284">
        <f t="shared" si="51"/>
        <v>1.0657773317498953</v>
      </c>
      <c r="L494" s="285">
        <f t="shared" si="56"/>
        <v>6.5777331749895404E-2</v>
      </c>
      <c r="M494" s="283">
        <f t="shared" si="50"/>
        <v>158.90740016390939</v>
      </c>
      <c r="N494" s="283" t="s">
        <v>1247</v>
      </c>
      <c r="O494" s="253">
        <f t="shared" si="52"/>
        <v>158.90740016390939</v>
      </c>
      <c r="P494" s="283" t="s">
        <v>918</v>
      </c>
      <c r="Q494" s="283">
        <f t="shared" si="54"/>
        <v>187.51073219341308</v>
      </c>
      <c r="R494" s="283">
        <f t="shared" si="55"/>
        <v>200.22332420652583</v>
      </c>
      <c r="S494" s="259"/>
      <c r="T494" s="259">
        <f>COUNT(#REF!)</f>
        <v>0</v>
      </c>
    </row>
    <row r="495" spans="2:20" customFormat="1" ht="25.5" customHeight="1" x14ac:dyDescent="0.25">
      <c r="B495" s="34">
        <v>488</v>
      </c>
      <c r="C495" s="41" t="s">
        <v>1581</v>
      </c>
      <c r="D495" s="42" t="s">
        <v>1582</v>
      </c>
      <c r="E495" s="41" t="s">
        <v>157</v>
      </c>
      <c r="F495" s="41"/>
      <c r="G495" s="41"/>
      <c r="H495" s="41" t="s">
        <v>924</v>
      </c>
      <c r="I495" s="252" t="s">
        <v>930</v>
      </c>
      <c r="J495" s="283">
        <v>42</v>
      </c>
      <c r="K495" s="284">
        <f t="shared" si="51"/>
        <v>1.0657773317498953</v>
      </c>
      <c r="L495" s="285">
        <f t="shared" si="56"/>
        <v>6.5777331749895404E-2</v>
      </c>
      <c r="M495" s="283">
        <f t="shared" si="50"/>
        <v>44.7626479334956</v>
      </c>
      <c r="N495" s="283" t="s">
        <v>1247</v>
      </c>
      <c r="O495" s="253">
        <f t="shared" si="52"/>
        <v>44.7626479334956</v>
      </c>
      <c r="P495" s="283" t="s">
        <v>918</v>
      </c>
      <c r="Q495" s="283">
        <f t="shared" si="54"/>
        <v>52.819924561524807</v>
      </c>
      <c r="R495" s="283">
        <f t="shared" si="55"/>
        <v>56.400936396204457</v>
      </c>
      <c r="S495" s="259"/>
      <c r="T495" s="259">
        <f>COUNT(#REF!)</f>
        <v>0</v>
      </c>
    </row>
    <row r="496" spans="2:20" customFormat="1" ht="25.5" customHeight="1" x14ac:dyDescent="0.25">
      <c r="B496" s="252">
        <v>489</v>
      </c>
      <c r="C496" s="41" t="s">
        <v>1583</v>
      </c>
      <c r="D496" s="42" t="s">
        <v>1584</v>
      </c>
      <c r="E496" s="41" t="s">
        <v>157</v>
      </c>
      <c r="F496" s="41"/>
      <c r="G496" s="41"/>
      <c r="H496" s="41" t="s">
        <v>924</v>
      </c>
      <c r="I496" s="252" t="s">
        <v>930</v>
      </c>
      <c r="J496" s="283">
        <v>31.5</v>
      </c>
      <c r="K496" s="284">
        <f t="shared" si="51"/>
        <v>1.0657773317498953</v>
      </c>
      <c r="L496" s="285">
        <f t="shared" si="56"/>
        <v>6.5777331749895404E-2</v>
      </c>
      <c r="M496" s="283">
        <f t="shared" si="50"/>
        <v>33.5719859501217</v>
      </c>
      <c r="N496" s="283" t="s">
        <v>1247</v>
      </c>
      <c r="O496" s="253">
        <f t="shared" si="52"/>
        <v>33.5719859501217</v>
      </c>
      <c r="P496" s="283" t="s">
        <v>918</v>
      </c>
      <c r="Q496" s="283">
        <f t="shared" si="54"/>
        <v>39.614943421143607</v>
      </c>
      <c r="R496" s="283">
        <f t="shared" si="55"/>
        <v>42.300702297153343</v>
      </c>
      <c r="S496" s="259"/>
      <c r="T496" s="259">
        <f>COUNT(#REF!)</f>
        <v>0</v>
      </c>
    </row>
    <row r="497" spans="2:20" customFormat="1" ht="25.5" customHeight="1" x14ac:dyDescent="0.25">
      <c r="B497" s="34">
        <v>490</v>
      </c>
      <c r="C497" s="41" t="s">
        <v>1585</v>
      </c>
      <c r="D497" s="42" t="s">
        <v>1586</v>
      </c>
      <c r="E497" s="41" t="s">
        <v>157</v>
      </c>
      <c r="F497" s="41"/>
      <c r="G497" s="41"/>
      <c r="H497" s="41" t="s">
        <v>924</v>
      </c>
      <c r="I497" s="252" t="s">
        <v>930</v>
      </c>
      <c r="J497" s="283">
        <v>241.5</v>
      </c>
      <c r="K497" s="284">
        <f t="shared" si="51"/>
        <v>1.0657773317498953</v>
      </c>
      <c r="L497" s="285">
        <f t="shared" si="56"/>
        <v>6.5777331749895404E-2</v>
      </c>
      <c r="M497" s="283">
        <f t="shared" si="50"/>
        <v>257.3852256175997</v>
      </c>
      <c r="N497" s="283" t="s">
        <v>1247</v>
      </c>
      <c r="O497" s="253">
        <f t="shared" si="52"/>
        <v>257.3852256175997</v>
      </c>
      <c r="P497" s="283" t="s">
        <v>918</v>
      </c>
      <c r="Q497" s="283">
        <f t="shared" si="54"/>
        <v>303.71456622876764</v>
      </c>
      <c r="R497" s="283">
        <f t="shared" si="55"/>
        <v>324.30538427817561</v>
      </c>
      <c r="S497" s="259"/>
      <c r="T497" s="259">
        <f>COUNT(#REF!)</f>
        <v>0</v>
      </c>
    </row>
    <row r="498" spans="2:20" customFormat="1" ht="25.5" customHeight="1" x14ac:dyDescent="0.25">
      <c r="B498" s="252">
        <v>491</v>
      </c>
      <c r="C498" s="41" t="s">
        <v>1587</v>
      </c>
      <c r="D498" s="42" t="s">
        <v>1588</v>
      </c>
      <c r="E498" s="41" t="s">
        <v>157</v>
      </c>
      <c r="F498" s="41"/>
      <c r="G498" s="41"/>
      <c r="H498" s="41" t="s">
        <v>924</v>
      </c>
      <c r="I498" s="252" t="s">
        <v>930</v>
      </c>
      <c r="J498" s="283">
        <v>46.2</v>
      </c>
      <c r="K498" s="284">
        <f t="shared" si="51"/>
        <v>1.0657773317498953</v>
      </c>
      <c r="L498" s="285">
        <f t="shared" si="56"/>
        <v>6.5777331749895404E-2</v>
      </c>
      <c r="M498" s="283">
        <f t="shared" si="50"/>
        <v>49.238912726845165</v>
      </c>
      <c r="N498" s="283" t="s">
        <v>1247</v>
      </c>
      <c r="O498" s="253">
        <f t="shared" si="52"/>
        <v>49.238912726845165</v>
      </c>
      <c r="P498" s="283" t="s">
        <v>918</v>
      </c>
      <c r="Q498" s="283">
        <f t="shared" si="54"/>
        <v>58.101917017677295</v>
      </c>
      <c r="R498" s="283">
        <f t="shared" si="55"/>
        <v>62.04103003582491</v>
      </c>
      <c r="S498" s="259"/>
      <c r="T498" s="259">
        <f>COUNT(#REF!)</f>
        <v>0</v>
      </c>
    </row>
    <row r="499" spans="2:20" customFormat="1" ht="25.5" customHeight="1" x14ac:dyDescent="0.25">
      <c r="B499" s="34">
        <v>492</v>
      </c>
      <c r="C499" s="41" t="s">
        <v>1589</v>
      </c>
      <c r="D499" s="42" t="s">
        <v>1590</v>
      </c>
      <c r="E499" s="41" t="s">
        <v>157</v>
      </c>
      <c r="F499" s="41"/>
      <c r="G499" s="41"/>
      <c r="H499" s="41" t="s">
        <v>924</v>
      </c>
      <c r="I499" s="252" t="s">
        <v>930</v>
      </c>
      <c r="J499" s="283">
        <v>195.3</v>
      </c>
      <c r="K499" s="284">
        <f t="shared" si="51"/>
        <v>1.0657773317498953</v>
      </c>
      <c r="L499" s="285">
        <f t="shared" si="56"/>
        <v>6.5777331749895404E-2</v>
      </c>
      <c r="M499" s="283">
        <f t="shared" ref="M499:M530" si="57">J499*K499</f>
        <v>208.14631289075456</v>
      </c>
      <c r="N499" s="283" t="s">
        <v>1247</v>
      </c>
      <c r="O499" s="253">
        <f t="shared" si="52"/>
        <v>208.14631289075456</v>
      </c>
      <c r="P499" s="283" t="s">
        <v>918</v>
      </c>
      <c r="Q499" s="283">
        <f t="shared" si="54"/>
        <v>245.61264921109037</v>
      </c>
      <c r="R499" s="283">
        <f t="shared" si="55"/>
        <v>262.26435424235075</v>
      </c>
      <c r="S499" s="259"/>
      <c r="T499" s="259">
        <f>COUNT(#REF!)</f>
        <v>0</v>
      </c>
    </row>
    <row r="500" spans="2:20" customFormat="1" ht="25.5" customHeight="1" x14ac:dyDescent="0.25">
      <c r="B500" s="252">
        <v>493</v>
      </c>
      <c r="C500" s="41" t="s">
        <v>1591</v>
      </c>
      <c r="D500" s="42" t="s">
        <v>1592</v>
      </c>
      <c r="E500" s="41" t="s">
        <v>157</v>
      </c>
      <c r="F500" s="41"/>
      <c r="G500" s="41"/>
      <c r="H500" s="41" t="s">
        <v>924</v>
      </c>
      <c r="I500" s="252" t="s">
        <v>930</v>
      </c>
      <c r="J500" s="283">
        <v>169.05</v>
      </c>
      <c r="K500" s="284">
        <f t="shared" si="51"/>
        <v>1.0657773317498953</v>
      </c>
      <c r="L500" s="285">
        <f t="shared" si="56"/>
        <v>6.5777331749895404E-2</v>
      </c>
      <c r="M500" s="283">
        <f t="shared" si="57"/>
        <v>180.16965793231981</v>
      </c>
      <c r="N500" s="283" t="s">
        <v>1247</v>
      </c>
      <c r="O500" s="253">
        <f t="shared" si="52"/>
        <v>180.16965793231981</v>
      </c>
      <c r="P500" s="283" t="s">
        <v>918</v>
      </c>
      <c r="Q500" s="283">
        <f t="shared" si="54"/>
        <v>212.60019636013737</v>
      </c>
      <c r="R500" s="283">
        <f t="shared" si="55"/>
        <v>227.01376899472297</v>
      </c>
      <c r="S500" s="259"/>
      <c r="T500" s="259">
        <f>COUNT(#REF!)</f>
        <v>0</v>
      </c>
    </row>
    <row r="501" spans="2:20" customFormat="1" ht="25.5" customHeight="1" x14ac:dyDescent="0.25">
      <c r="B501" s="34">
        <v>494</v>
      </c>
      <c r="C501" s="41" t="s">
        <v>1593</v>
      </c>
      <c r="D501" s="42" t="s">
        <v>1594</v>
      </c>
      <c r="E501" s="41" t="s">
        <v>157</v>
      </c>
      <c r="F501" s="41"/>
      <c r="G501" s="41"/>
      <c r="H501" s="41" t="s">
        <v>924</v>
      </c>
      <c r="I501" s="252" t="s">
        <v>930</v>
      </c>
      <c r="J501" s="283">
        <v>336</v>
      </c>
      <c r="K501" s="284">
        <f t="shared" si="51"/>
        <v>1.0657773317498953</v>
      </c>
      <c r="L501" s="285">
        <f t="shared" si="56"/>
        <v>6.5777331749895404E-2</v>
      </c>
      <c r="M501" s="283">
        <f t="shared" si="57"/>
        <v>358.1011834679648</v>
      </c>
      <c r="N501" s="283" t="s">
        <v>1247</v>
      </c>
      <c r="O501" s="253">
        <f t="shared" si="52"/>
        <v>358.1011834679648</v>
      </c>
      <c r="P501" s="283" t="s">
        <v>918</v>
      </c>
      <c r="Q501" s="283">
        <f t="shared" si="54"/>
        <v>422.55939649219846</v>
      </c>
      <c r="R501" s="283">
        <f t="shared" si="55"/>
        <v>451.20749116963566</v>
      </c>
      <c r="S501" s="259"/>
      <c r="T501" s="259">
        <f>COUNT(#REF!)</f>
        <v>0</v>
      </c>
    </row>
    <row r="502" spans="2:20" customFormat="1" ht="25.5" customHeight="1" x14ac:dyDescent="0.25">
      <c r="B502" s="252">
        <v>495</v>
      </c>
      <c r="C502" s="41" t="s">
        <v>1595</v>
      </c>
      <c r="D502" s="42" t="s">
        <v>1596</v>
      </c>
      <c r="E502" s="41" t="s">
        <v>157</v>
      </c>
      <c r="F502" s="41"/>
      <c r="G502" s="41"/>
      <c r="H502" s="41" t="s">
        <v>924</v>
      </c>
      <c r="I502" s="252" t="s">
        <v>930</v>
      </c>
      <c r="J502" s="283">
        <v>367.5</v>
      </c>
      <c r="K502" s="284">
        <f t="shared" si="51"/>
        <v>1.0657773317498953</v>
      </c>
      <c r="L502" s="285">
        <f t="shared" si="56"/>
        <v>6.5777331749895404E-2</v>
      </c>
      <c r="M502" s="283">
        <f t="shared" si="57"/>
        <v>391.6731694180865</v>
      </c>
      <c r="N502" s="283" t="s">
        <v>1247</v>
      </c>
      <c r="O502" s="253">
        <f t="shared" si="52"/>
        <v>391.6731694180865</v>
      </c>
      <c r="P502" s="283" t="s">
        <v>918</v>
      </c>
      <c r="Q502" s="283">
        <f t="shared" si="54"/>
        <v>462.17433991334207</v>
      </c>
      <c r="R502" s="283">
        <f t="shared" si="55"/>
        <v>493.50819346678901</v>
      </c>
      <c r="S502" s="259"/>
      <c r="T502" s="259">
        <f>COUNT(#REF!)</f>
        <v>0</v>
      </c>
    </row>
    <row r="503" spans="2:20" customFormat="1" ht="25.5" customHeight="1" x14ac:dyDescent="0.25">
      <c r="B503" s="34">
        <v>496</v>
      </c>
      <c r="C503" s="41" t="s">
        <v>1597</v>
      </c>
      <c r="D503" s="42" t="s">
        <v>1598</v>
      </c>
      <c r="E503" s="41" t="s">
        <v>157</v>
      </c>
      <c r="F503" s="41"/>
      <c r="G503" s="41"/>
      <c r="H503" s="41" t="s">
        <v>924</v>
      </c>
      <c r="I503" s="252" t="s">
        <v>930</v>
      </c>
      <c r="J503" s="283">
        <v>44.1</v>
      </c>
      <c r="K503" s="284">
        <f t="shared" si="51"/>
        <v>1.0657773317498953</v>
      </c>
      <c r="L503" s="285">
        <f t="shared" si="56"/>
        <v>6.5777331749895404E-2</v>
      </c>
      <c r="M503" s="283">
        <f t="shared" si="57"/>
        <v>47.000780330170386</v>
      </c>
      <c r="N503" s="283" t="s">
        <v>1247</v>
      </c>
      <c r="O503" s="253">
        <f t="shared" si="52"/>
        <v>47.000780330170386</v>
      </c>
      <c r="P503" s="283" t="s">
        <v>918</v>
      </c>
      <c r="Q503" s="283">
        <f t="shared" si="54"/>
        <v>55.460920789601055</v>
      </c>
      <c r="R503" s="283">
        <f t="shared" si="55"/>
        <v>59.220983216014687</v>
      </c>
      <c r="S503" s="259"/>
      <c r="T503" s="259">
        <f>COUNT(#REF!)</f>
        <v>0</v>
      </c>
    </row>
    <row r="504" spans="2:20" customFormat="1" ht="25.5" customHeight="1" x14ac:dyDescent="0.25">
      <c r="B504" s="252">
        <v>497</v>
      </c>
      <c r="C504" s="41" t="s">
        <v>1599</v>
      </c>
      <c r="D504" s="42" t="s">
        <v>1600</v>
      </c>
      <c r="E504" s="41" t="s">
        <v>157</v>
      </c>
      <c r="F504" s="41"/>
      <c r="G504" s="41"/>
      <c r="H504" s="41" t="s">
        <v>924</v>
      </c>
      <c r="I504" s="252" t="s">
        <v>930</v>
      </c>
      <c r="J504" s="283">
        <v>85.05</v>
      </c>
      <c r="K504" s="284">
        <f t="shared" si="51"/>
        <v>1.0657773317498953</v>
      </c>
      <c r="L504" s="285">
        <f t="shared" si="56"/>
        <v>6.5777331749895404E-2</v>
      </c>
      <c r="M504" s="283">
        <f t="shared" si="57"/>
        <v>90.644362065328593</v>
      </c>
      <c r="N504" s="283" t="s">
        <v>1247</v>
      </c>
      <c r="O504" s="253">
        <f t="shared" si="52"/>
        <v>90.644362065328593</v>
      </c>
      <c r="P504" s="283" t="s">
        <v>918</v>
      </c>
      <c r="Q504" s="283">
        <f t="shared" si="54"/>
        <v>106.96034723708773</v>
      </c>
      <c r="R504" s="283">
        <f t="shared" si="55"/>
        <v>114.21189620231402</v>
      </c>
      <c r="S504" s="259"/>
      <c r="T504" s="259">
        <f>COUNT(#REF!)</f>
        <v>0</v>
      </c>
    </row>
    <row r="505" spans="2:20" customFormat="1" ht="25.5" customHeight="1" x14ac:dyDescent="0.25">
      <c r="B505" s="34">
        <v>498</v>
      </c>
      <c r="C505" s="41" t="s">
        <v>1601</v>
      </c>
      <c r="D505" s="42" t="s">
        <v>1602</v>
      </c>
      <c r="E505" s="41" t="s">
        <v>158</v>
      </c>
      <c r="F505" s="41"/>
      <c r="G505" s="41"/>
      <c r="H505" s="41" t="s">
        <v>924</v>
      </c>
      <c r="I505" s="252" t="s">
        <v>930</v>
      </c>
      <c r="J505" s="283">
        <v>214.2</v>
      </c>
      <c r="K505" s="284">
        <f t="shared" ref="K505:K530" si="58">(1+L505)</f>
        <v>1.0657773317498953</v>
      </c>
      <c r="L505" s="285">
        <f t="shared" si="56"/>
        <v>6.5777331749895404E-2</v>
      </c>
      <c r="M505" s="283">
        <f t="shared" si="57"/>
        <v>228.28950446082757</v>
      </c>
      <c r="N505" s="283" t="s">
        <v>1247</v>
      </c>
      <c r="O505" s="253">
        <f t="shared" ref="O505:O530" si="59">M505</f>
        <v>228.28950446082757</v>
      </c>
      <c r="P505" s="283" t="s">
        <v>918</v>
      </c>
      <c r="Q505" s="283">
        <f t="shared" si="54"/>
        <v>269.3816152637765</v>
      </c>
      <c r="R505" s="283">
        <f t="shared" si="55"/>
        <v>287.64477562064275</v>
      </c>
      <c r="S505" s="259"/>
      <c r="T505" s="259">
        <f>COUNT(#REF!)</f>
        <v>0</v>
      </c>
    </row>
    <row r="506" spans="2:20" customFormat="1" ht="25.5" customHeight="1" x14ac:dyDescent="0.25">
      <c r="B506" s="252">
        <v>499</v>
      </c>
      <c r="C506" s="41" t="s">
        <v>1603</v>
      </c>
      <c r="D506" s="42" t="s">
        <v>1604</v>
      </c>
      <c r="E506" s="41" t="s">
        <v>157</v>
      </c>
      <c r="F506" s="41"/>
      <c r="G506" s="41"/>
      <c r="H506" s="41" t="s">
        <v>924</v>
      </c>
      <c r="I506" s="252" t="s">
        <v>930</v>
      </c>
      <c r="J506" s="283">
        <v>756</v>
      </c>
      <c r="K506" s="284">
        <f t="shared" si="58"/>
        <v>1.0657773317498953</v>
      </c>
      <c r="L506" s="285">
        <f t="shared" si="56"/>
        <v>6.5777331749895404E-2</v>
      </c>
      <c r="M506" s="283">
        <f t="shared" si="57"/>
        <v>805.7276628029208</v>
      </c>
      <c r="N506" s="283" t="s">
        <v>1247</v>
      </c>
      <c r="O506" s="253">
        <f t="shared" si="59"/>
        <v>805.7276628029208</v>
      </c>
      <c r="P506" s="283" t="s">
        <v>918</v>
      </c>
      <c r="Q506" s="283">
        <f t="shared" si="54"/>
        <v>950.75864210744646</v>
      </c>
      <c r="R506" s="283">
        <f t="shared" si="55"/>
        <v>1015.2168551316802</v>
      </c>
      <c r="S506" s="259"/>
      <c r="T506" s="259">
        <f>COUNT(#REF!)</f>
        <v>0</v>
      </c>
    </row>
    <row r="507" spans="2:20" customFormat="1" ht="25.5" customHeight="1" x14ac:dyDescent="0.25">
      <c r="B507" s="34">
        <v>500</v>
      </c>
      <c r="C507" s="41" t="s">
        <v>1605</v>
      </c>
      <c r="D507" s="42" t="s">
        <v>1606</v>
      </c>
      <c r="E507" s="41" t="s">
        <v>157</v>
      </c>
      <c r="F507" s="41"/>
      <c r="G507" s="41"/>
      <c r="H507" s="41" t="s">
        <v>924</v>
      </c>
      <c r="I507" s="252" t="s">
        <v>930</v>
      </c>
      <c r="J507" s="283">
        <v>196.35</v>
      </c>
      <c r="K507" s="284">
        <f t="shared" si="58"/>
        <v>1.0657773317498953</v>
      </c>
      <c r="L507" s="285">
        <f t="shared" si="56"/>
        <v>6.5777331749895404E-2</v>
      </c>
      <c r="M507" s="283">
        <f t="shared" si="57"/>
        <v>209.26537908909194</v>
      </c>
      <c r="N507" s="283" t="s">
        <v>1247</v>
      </c>
      <c r="O507" s="253">
        <f t="shared" si="59"/>
        <v>209.26537908909194</v>
      </c>
      <c r="P507" s="283" t="s">
        <v>918</v>
      </c>
      <c r="Q507" s="283">
        <f t="shared" si="54"/>
        <v>246.93314732512846</v>
      </c>
      <c r="R507" s="283">
        <f t="shared" si="55"/>
        <v>263.67437765225583</v>
      </c>
      <c r="S507" s="259"/>
      <c r="T507" s="259">
        <f>COUNT(#REF!)</f>
        <v>0</v>
      </c>
    </row>
    <row r="508" spans="2:20" customFormat="1" ht="25.5" customHeight="1" x14ac:dyDescent="0.25">
      <c r="B508" s="252">
        <v>501</v>
      </c>
      <c r="C508" s="41" t="s">
        <v>1607</v>
      </c>
      <c r="D508" s="42" t="s">
        <v>1608</v>
      </c>
      <c r="E508" s="41" t="s">
        <v>157</v>
      </c>
      <c r="F508" s="41"/>
      <c r="G508" s="41"/>
      <c r="H508" s="41" t="s">
        <v>924</v>
      </c>
      <c r="I508" s="252" t="s">
        <v>930</v>
      </c>
      <c r="J508" s="283">
        <v>89.25</v>
      </c>
      <c r="K508" s="284">
        <f t="shared" si="58"/>
        <v>1.0657773317498953</v>
      </c>
      <c r="L508" s="285">
        <f t="shared" si="56"/>
        <v>6.5777331749895404E-2</v>
      </c>
      <c r="M508" s="283">
        <f t="shared" si="57"/>
        <v>95.12062685867815</v>
      </c>
      <c r="N508" s="283" t="s">
        <v>1247</v>
      </c>
      <c r="O508" s="253">
        <f t="shared" si="59"/>
        <v>95.12062685867815</v>
      </c>
      <c r="P508" s="283" t="s">
        <v>918</v>
      </c>
      <c r="Q508" s="283">
        <f t="shared" si="54"/>
        <v>112.24233969324021</v>
      </c>
      <c r="R508" s="283">
        <f t="shared" si="55"/>
        <v>119.85198984193447</v>
      </c>
      <c r="S508" s="259"/>
      <c r="T508" s="259">
        <f>COUNT(#REF!)</f>
        <v>0</v>
      </c>
    </row>
    <row r="509" spans="2:20" ht="15" customHeight="1" x14ac:dyDescent="0.25">
      <c r="B509" s="34">
        <v>502</v>
      </c>
      <c r="C509" s="34" t="s">
        <v>1609</v>
      </c>
      <c r="D509" s="251" t="s">
        <v>1610</v>
      </c>
      <c r="E509" s="41" t="s">
        <v>157</v>
      </c>
      <c r="F509" s="41"/>
      <c r="G509" s="41"/>
      <c r="H509" s="41" t="s">
        <v>915</v>
      </c>
      <c r="I509" s="252" t="s">
        <v>930</v>
      </c>
      <c r="J509" s="283">
        <v>5500</v>
      </c>
      <c r="K509" s="284">
        <f t="shared" ref="K509:K515" si="60">(1+L509)</f>
        <v>1.0657773317498953</v>
      </c>
      <c r="L509" s="285">
        <f>$L$2</f>
        <v>6.5777331749895404E-2</v>
      </c>
      <c r="M509" s="283">
        <f t="shared" ref="M509:M515" si="61">J509*K509</f>
        <v>5861.7753246244238</v>
      </c>
      <c r="N509" s="283" t="s">
        <v>936</v>
      </c>
      <c r="O509" s="253">
        <f t="shared" si="59"/>
        <v>5861.7753246244238</v>
      </c>
      <c r="P509" s="283" t="s">
        <v>918</v>
      </c>
      <c r="Q509" s="283">
        <f t="shared" si="54"/>
        <v>6916.8948830568197</v>
      </c>
      <c r="R509" s="283">
        <f t="shared" si="55"/>
        <v>7385.8369090267743</v>
      </c>
      <c r="S509" s="33"/>
      <c r="T509" s="33"/>
    </row>
    <row r="510" spans="2:20" ht="25.5" customHeight="1" x14ac:dyDescent="0.25">
      <c r="B510" s="34">
        <v>503</v>
      </c>
      <c r="C510" s="34" t="s">
        <v>1611</v>
      </c>
      <c r="D510" s="251" t="s">
        <v>1612</v>
      </c>
      <c r="E510" s="41" t="s">
        <v>157</v>
      </c>
      <c r="F510" s="41"/>
      <c r="G510" s="41"/>
      <c r="H510" s="41" t="s">
        <v>924</v>
      </c>
      <c r="I510" s="252" t="s">
        <v>930</v>
      </c>
      <c r="J510" s="283">
        <v>6000</v>
      </c>
      <c r="K510" s="284">
        <f t="shared" si="60"/>
        <v>1</v>
      </c>
      <c r="L510" s="285">
        <v>0</v>
      </c>
      <c r="M510" s="283">
        <f t="shared" si="61"/>
        <v>6000</v>
      </c>
      <c r="N510" s="88" t="s">
        <v>1071</v>
      </c>
      <c r="O510" s="253">
        <f t="shared" si="59"/>
        <v>6000</v>
      </c>
      <c r="P510" s="283" t="s">
        <v>918</v>
      </c>
      <c r="Q510" s="283"/>
      <c r="R510" s="283"/>
      <c r="S510" s="33"/>
      <c r="T510" s="33"/>
    </row>
    <row r="511" spans="2:20" ht="25.5" customHeight="1" x14ac:dyDescent="0.25">
      <c r="B511" s="34">
        <v>504</v>
      </c>
      <c r="C511" s="34" t="s">
        <v>1613</v>
      </c>
      <c r="D511" s="251" t="s">
        <v>1614</v>
      </c>
      <c r="E511" s="41" t="s">
        <v>157</v>
      </c>
      <c r="F511" s="41"/>
      <c r="G511" s="41"/>
      <c r="H511" s="41" t="s">
        <v>924</v>
      </c>
      <c r="I511" s="252" t="s">
        <v>930</v>
      </c>
      <c r="J511" s="283">
        <v>15000</v>
      </c>
      <c r="K511" s="284">
        <f t="shared" si="60"/>
        <v>1</v>
      </c>
      <c r="L511" s="285">
        <v>0</v>
      </c>
      <c r="M511" s="283">
        <f t="shared" si="61"/>
        <v>15000</v>
      </c>
      <c r="N511" s="88" t="s">
        <v>1071</v>
      </c>
      <c r="O511" s="253">
        <f t="shared" si="59"/>
        <v>15000</v>
      </c>
      <c r="P511" s="283" t="s">
        <v>918</v>
      </c>
      <c r="Q511" s="283"/>
      <c r="R511" s="283"/>
      <c r="S511" s="33"/>
      <c r="T511" s="33"/>
    </row>
    <row r="512" spans="2:20" ht="25.5" customHeight="1" x14ac:dyDescent="0.25">
      <c r="B512" s="34">
        <v>505</v>
      </c>
      <c r="C512" s="34" t="s">
        <v>1615</v>
      </c>
      <c r="D512" s="251" t="s">
        <v>1616</v>
      </c>
      <c r="E512" s="41" t="s">
        <v>157</v>
      </c>
      <c r="F512" s="41"/>
      <c r="G512" s="41"/>
      <c r="H512" s="41" t="s">
        <v>924</v>
      </c>
      <c r="I512" s="252" t="s">
        <v>930</v>
      </c>
      <c r="J512" s="283">
        <v>1000</v>
      </c>
      <c r="K512" s="284">
        <f t="shared" si="60"/>
        <v>1</v>
      </c>
      <c r="L512" s="285">
        <v>0</v>
      </c>
      <c r="M512" s="283">
        <f t="shared" si="61"/>
        <v>1000</v>
      </c>
      <c r="N512" s="88" t="s">
        <v>1071</v>
      </c>
      <c r="O512" s="253">
        <f t="shared" si="59"/>
        <v>1000</v>
      </c>
      <c r="P512" s="283" t="s">
        <v>918</v>
      </c>
      <c r="Q512" s="283"/>
      <c r="R512" s="283"/>
      <c r="S512" s="33"/>
      <c r="T512" s="33"/>
    </row>
    <row r="513" spans="2:20" ht="25.5" customHeight="1" x14ac:dyDescent="0.25">
      <c r="B513" s="34">
        <v>506</v>
      </c>
      <c r="C513" s="34" t="s">
        <v>1617</v>
      </c>
      <c r="D513" s="251" t="s">
        <v>1618</v>
      </c>
      <c r="E513" s="41" t="s">
        <v>157</v>
      </c>
      <c r="F513" s="41"/>
      <c r="G513" s="41"/>
      <c r="H513" s="41" t="s">
        <v>924</v>
      </c>
      <c r="I513" s="252" t="s">
        <v>930</v>
      </c>
      <c r="J513" s="283">
        <v>1400</v>
      </c>
      <c r="K513" s="284">
        <f t="shared" si="60"/>
        <v>1</v>
      </c>
      <c r="L513" s="285">
        <v>0</v>
      </c>
      <c r="M513" s="283">
        <f t="shared" si="61"/>
        <v>1400</v>
      </c>
      <c r="N513" s="88" t="s">
        <v>1071</v>
      </c>
      <c r="O513" s="253">
        <f t="shared" si="59"/>
        <v>1400</v>
      </c>
      <c r="P513" s="283" t="s">
        <v>918</v>
      </c>
      <c r="Q513" s="283"/>
      <c r="R513" s="283"/>
      <c r="S513" s="33"/>
      <c r="T513" s="33"/>
    </row>
    <row r="514" spans="2:20" ht="25.5" customHeight="1" x14ac:dyDescent="0.25">
      <c r="B514" s="34">
        <v>507</v>
      </c>
      <c r="C514" s="34" t="s">
        <v>1619</v>
      </c>
      <c r="D514" s="251" t="s">
        <v>1620</v>
      </c>
      <c r="E514" s="41" t="s">
        <v>157</v>
      </c>
      <c r="F514" s="41"/>
      <c r="G514" s="41"/>
      <c r="H514" s="41" t="s">
        <v>924</v>
      </c>
      <c r="I514" s="252" t="s">
        <v>930</v>
      </c>
      <c r="J514" s="283">
        <v>1400</v>
      </c>
      <c r="K514" s="284">
        <f t="shared" si="60"/>
        <v>1</v>
      </c>
      <c r="L514" s="285">
        <v>0</v>
      </c>
      <c r="M514" s="283">
        <f t="shared" si="61"/>
        <v>1400</v>
      </c>
      <c r="N514" s="88" t="s">
        <v>1071</v>
      </c>
      <c r="O514" s="253">
        <f t="shared" si="59"/>
        <v>1400</v>
      </c>
      <c r="P514" s="283" t="s">
        <v>918</v>
      </c>
      <c r="Q514" s="283"/>
      <c r="R514" s="283"/>
      <c r="S514" s="33"/>
      <c r="T514" s="33"/>
    </row>
    <row r="515" spans="2:20" ht="25.5" customHeight="1" x14ac:dyDescent="0.25">
      <c r="B515" s="34">
        <v>508</v>
      </c>
      <c r="C515" s="34" t="s">
        <v>1621</v>
      </c>
      <c r="D515" s="251" t="s">
        <v>1622</v>
      </c>
      <c r="E515" s="41" t="s">
        <v>157</v>
      </c>
      <c r="F515" s="41"/>
      <c r="G515" s="41"/>
      <c r="H515" s="41" t="s">
        <v>924</v>
      </c>
      <c r="I515" s="252" t="s">
        <v>930</v>
      </c>
      <c r="J515" s="283">
        <v>70</v>
      </c>
      <c r="K515" s="284">
        <f t="shared" si="60"/>
        <v>1</v>
      </c>
      <c r="L515" s="285">
        <v>0</v>
      </c>
      <c r="M515" s="283">
        <f t="shared" si="61"/>
        <v>70</v>
      </c>
      <c r="N515" s="88" t="s">
        <v>1071</v>
      </c>
      <c r="O515" s="253">
        <f t="shared" si="59"/>
        <v>70</v>
      </c>
      <c r="P515" s="283" t="s">
        <v>918</v>
      </c>
      <c r="Q515" s="283"/>
      <c r="R515" s="283"/>
      <c r="S515" s="33"/>
      <c r="T515" s="33"/>
    </row>
    <row r="516" spans="2:20" customFormat="1" ht="25.5" customHeight="1" x14ac:dyDescent="0.25">
      <c r="B516" s="34">
        <v>509</v>
      </c>
      <c r="C516" s="41" t="s">
        <v>1623</v>
      </c>
      <c r="D516" s="42" t="s">
        <v>1624</v>
      </c>
      <c r="E516" s="41" t="s">
        <v>157</v>
      </c>
      <c r="F516" s="41"/>
      <c r="G516" s="41"/>
      <c r="H516" s="41" t="s">
        <v>924</v>
      </c>
      <c r="I516" s="252" t="s">
        <v>930</v>
      </c>
      <c r="J516" s="283">
        <v>160</v>
      </c>
      <c r="K516" s="284">
        <f t="shared" si="58"/>
        <v>1.0657773317498953</v>
      </c>
      <c r="L516" s="285">
        <f>$L$2</f>
        <v>6.5777331749895404E-2</v>
      </c>
      <c r="M516" s="283">
        <f t="shared" si="57"/>
        <v>170.52437307998326</v>
      </c>
      <c r="N516" s="283" t="s">
        <v>1247</v>
      </c>
      <c r="O516" s="253">
        <f t="shared" si="59"/>
        <v>170.52437307998326</v>
      </c>
      <c r="P516" s="283" t="s">
        <v>918</v>
      </c>
      <c r="Q516" s="283">
        <f t="shared" ref="Q516:Q530" si="62">M516*1.18</f>
        <v>201.21876023438023</v>
      </c>
      <c r="R516" s="283">
        <f t="shared" ref="R516:R530" si="63">M516*1.26</f>
        <v>214.86071008077892</v>
      </c>
      <c r="S516" s="259"/>
      <c r="T516" s="259">
        <f>COUNT(#REF!)</f>
        <v>0</v>
      </c>
    </row>
    <row r="517" spans="2:20" customFormat="1" ht="25.5" customHeight="1" x14ac:dyDescent="0.25">
      <c r="B517" s="34">
        <v>510</v>
      </c>
      <c r="C517" s="41" t="s">
        <v>1625</v>
      </c>
      <c r="D517" s="42" t="s">
        <v>1626</v>
      </c>
      <c r="E517" s="41" t="s">
        <v>250</v>
      </c>
      <c r="F517" s="41"/>
      <c r="G517" s="41"/>
      <c r="H517" s="41" t="s">
        <v>924</v>
      </c>
      <c r="I517" s="252" t="s">
        <v>930</v>
      </c>
      <c r="J517" s="283">
        <v>1800</v>
      </c>
      <c r="K517" s="284">
        <f t="shared" si="58"/>
        <v>1.0657773317498953</v>
      </c>
      <c r="L517" s="285">
        <f>$L$2</f>
        <v>6.5777331749895404E-2</v>
      </c>
      <c r="M517" s="283">
        <f t="shared" si="57"/>
        <v>1918.3991971498115</v>
      </c>
      <c r="N517" s="283" t="s">
        <v>1247</v>
      </c>
      <c r="O517" s="253">
        <f t="shared" si="59"/>
        <v>1918.3991971498115</v>
      </c>
      <c r="P517" s="283" t="s">
        <v>918</v>
      </c>
      <c r="Q517" s="283">
        <f t="shared" si="62"/>
        <v>2263.7110526367774</v>
      </c>
      <c r="R517" s="283">
        <f t="shared" si="63"/>
        <v>2417.1829884087624</v>
      </c>
      <c r="S517" s="259"/>
      <c r="T517" s="259">
        <f>COUNT(#REF!)</f>
        <v>0</v>
      </c>
    </row>
    <row r="518" spans="2:20" customFormat="1" ht="25.5" customHeight="1" x14ac:dyDescent="0.25">
      <c r="B518" s="34">
        <v>511</v>
      </c>
      <c r="C518" s="41" t="s">
        <v>1627</v>
      </c>
      <c r="D518" s="42" t="s">
        <v>1628</v>
      </c>
      <c r="E518" s="41" t="s">
        <v>250</v>
      </c>
      <c r="F518" s="41"/>
      <c r="G518" s="41"/>
      <c r="H518" s="41" t="s">
        <v>924</v>
      </c>
      <c r="I518" s="252" t="s">
        <v>930</v>
      </c>
      <c r="J518" s="283">
        <v>510.75</v>
      </c>
      <c r="K518" s="284">
        <f t="shared" si="58"/>
        <v>1.0657773317498953</v>
      </c>
      <c r="L518" s="285">
        <f>$L$2</f>
        <v>6.5777331749895404E-2</v>
      </c>
      <c r="M518" s="283">
        <f t="shared" si="57"/>
        <v>544.34577219125902</v>
      </c>
      <c r="N518" s="283" t="s">
        <v>1629</v>
      </c>
      <c r="O518" s="253">
        <f t="shared" si="59"/>
        <v>544.34577219125902</v>
      </c>
      <c r="P518" s="283" t="s">
        <v>918</v>
      </c>
      <c r="Q518" s="283">
        <f t="shared" si="62"/>
        <v>642.32801118568557</v>
      </c>
      <c r="R518" s="283">
        <f t="shared" si="63"/>
        <v>685.87567296098632</v>
      </c>
      <c r="S518" s="33"/>
      <c r="T518" s="33">
        <f>COUNT(#REF!)</f>
        <v>0</v>
      </c>
    </row>
    <row r="519" spans="2:20" customFormat="1" ht="25.5" customHeight="1" x14ac:dyDescent="0.25">
      <c r="B519" s="34">
        <v>512</v>
      </c>
      <c r="C519" s="41" t="s">
        <v>1630</v>
      </c>
      <c r="D519" s="42" t="s">
        <v>1631</v>
      </c>
      <c r="E519" s="41" t="s">
        <v>157</v>
      </c>
      <c r="F519" s="41"/>
      <c r="G519" s="41"/>
      <c r="H519" s="41" t="s">
        <v>924</v>
      </c>
      <c r="I519" s="252" t="s">
        <v>930</v>
      </c>
      <c r="J519" s="283">
        <v>1305.25</v>
      </c>
      <c r="K519" s="284">
        <f t="shared" si="58"/>
        <v>1.0657773317498953</v>
      </c>
      <c r="L519" s="285">
        <f>$L$2</f>
        <v>6.5777331749895404E-2</v>
      </c>
      <c r="M519" s="283">
        <f t="shared" si="57"/>
        <v>1391.105862266551</v>
      </c>
      <c r="N519" s="283" t="s">
        <v>1247</v>
      </c>
      <c r="O519" s="253">
        <f t="shared" si="59"/>
        <v>1391.105862266551</v>
      </c>
      <c r="P519" s="283" t="s">
        <v>918</v>
      </c>
      <c r="Q519" s="283">
        <f t="shared" si="62"/>
        <v>1641.50491747453</v>
      </c>
      <c r="R519" s="283">
        <f t="shared" si="63"/>
        <v>1752.7933864558543</v>
      </c>
      <c r="S519" s="259"/>
      <c r="T519" s="259">
        <f>COUNT(#REF!)</f>
        <v>0</v>
      </c>
    </row>
    <row r="520" spans="2:20" customFormat="1" ht="51" customHeight="1" x14ac:dyDescent="0.25">
      <c r="B520" s="34">
        <v>513</v>
      </c>
      <c r="C520" s="84" t="s">
        <v>1632</v>
      </c>
      <c r="D520" s="42" t="s">
        <v>1633</v>
      </c>
      <c r="E520" s="41" t="s">
        <v>393</v>
      </c>
      <c r="F520" s="41"/>
      <c r="G520" s="41"/>
      <c r="H520" s="41" t="s">
        <v>924</v>
      </c>
      <c r="I520" s="252" t="s">
        <v>930</v>
      </c>
      <c r="J520" s="283">
        <v>9075</v>
      </c>
      <c r="K520" s="284">
        <f t="shared" si="58"/>
        <v>1.0657773317498953</v>
      </c>
      <c r="L520" s="285">
        <f>$L$2</f>
        <v>6.5777331749895404E-2</v>
      </c>
      <c r="M520" s="283">
        <f t="shared" si="57"/>
        <v>9671.9292856303</v>
      </c>
      <c r="N520" s="88" t="s">
        <v>1107</v>
      </c>
      <c r="O520" s="253">
        <f t="shared" si="59"/>
        <v>9671.9292856303</v>
      </c>
      <c r="P520" s="283" t="s">
        <v>918</v>
      </c>
      <c r="Q520" s="283">
        <f t="shared" si="62"/>
        <v>11412.876557043754</v>
      </c>
      <c r="R520" s="283">
        <f t="shared" si="63"/>
        <v>12186.630899894179</v>
      </c>
      <c r="S520" s="259"/>
      <c r="T520" s="259">
        <f>COUNT(#REF!)</f>
        <v>0</v>
      </c>
    </row>
    <row r="521" spans="2:20" ht="37.5" customHeight="1" x14ac:dyDescent="0.25">
      <c r="B521" s="349" t="s">
        <v>1634</v>
      </c>
      <c r="C521" s="349"/>
      <c r="D521" s="349"/>
      <c r="E521" s="349"/>
      <c r="F521" s="41"/>
      <c r="G521" s="41"/>
      <c r="H521" s="41"/>
      <c r="I521" s="99"/>
      <c r="J521" s="283"/>
      <c r="K521" s="284"/>
      <c r="L521" s="285"/>
      <c r="M521" s="283"/>
      <c r="N521" s="99"/>
      <c r="O521" s="253"/>
      <c r="P521" s="283"/>
      <c r="Q521" s="283">
        <f t="shared" si="62"/>
        <v>0</v>
      </c>
      <c r="R521" s="283">
        <f t="shared" si="63"/>
        <v>0</v>
      </c>
      <c r="S521" s="33"/>
      <c r="T521" s="33"/>
    </row>
    <row r="522" spans="2:20" ht="15" customHeight="1" x14ac:dyDescent="0.25">
      <c r="B522" s="34">
        <v>514</v>
      </c>
      <c r="C522" s="41">
        <v>130.1</v>
      </c>
      <c r="D522" s="251" t="s">
        <v>1635</v>
      </c>
      <c r="E522" s="41" t="s">
        <v>1636</v>
      </c>
      <c r="F522" s="41"/>
      <c r="G522" s="41"/>
      <c r="H522" s="41" t="s">
        <v>915</v>
      </c>
      <c r="I522" s="88" t="s">
        <v>930</v>
      </c>
      <c r="J522" s="283">
        <v>330</v>
      </c>
      <c r="K522" s="284">
        <f t="shared" si="58"/>
        <v>1.0394657410202235</v>
      </c>
      <c r="L522" s="285">
        <f>$X$9</f>
        <v>3.9465741020223502E-2</v>
      </c>
      <c r="M522" s="283">
        <f t="shared" si="57"/>
        <v>343.02369453667376</v>
      </c>
      <c r="N522" s="283" t="s">
        <v>936</v>
      </c>
      <c r="O522" s="253">
        <f t="shared" si="59"/>
        <v>343.02369453667376</v>
      </c>
      <c r="P522" s="283" t="s">
        <v>918</v>
      </c>
      <c r="Q522" s="283">
        <f t="shared" si="62"/>
        <v>404.76795955327503</v>
      </c>
      <c r="R522" s="283">
        <f t="shared" si="63"/>
        <v>432.20985511620893</v>
      </c>
      <c r="S522" s="33"/>
      <c r="T522" s="33"/>
    </row>
    <row r="523" spans="2:20" ht="38.25" customHeight="1" x14ac:dyDescent="0.25">
      <c r="B523" s="34">
        <v>515</v>
      </c>
      <c r="C523" s="299" t="s">
        <v>1637</v>
      </c>
      <c r="D523" s="57" t="s">
        <v>1638</v>
      </c>
      <c r="E523" s="89" t="s">
        <v>495</v>
      </c>
      <c r="F523" s="41"/>
      <c r="G523" s="41"/>
      <c r="H523" s="41" t="s">
        <v>924</v>
      </c>
      <c r="I523" s="89" t="s">
        <v>930</v>
      </c>
      <c r="J523" s="283">
        <v>85.96</v>
      </c>
      <c r="K523" s="284">
        <f t="shared" si="58"/>
        <v>1</v>
      </c>
      <c r="L523" s="285">
        <v>0</v>
      </c>
      <c r="M523" s="283">
        <f t="shared" si="57"/>
        <v>85.96</v>
      </c>
      <c r="N523" s="88" t="s">
        <v>1639</v>
      </c>
      <c r="O523" s="253">
        <f t="shared" si="59"/>
        <v>85.96</v>
      </c>
      <c r="P523" s="283" t="s">
        <v>918</v>
      </c>
      <c r="Q523" s="283">
        <f t="shared" si="62"/>
        <v>101.43279999999999</v>
      </c>
      <c r="R523" s="283">
        <f t="shared" si="63"/>
        <v>108.30959999999999</v>
      </c>
      <c r="S523" s="33"/>
      <c r="T523" s="33"/>
    </row>
    <row r="524" spans="2:20" ht="38.25" customHeight="1" x14ac:dyDescent="0.25">
      <c r="B524" s="34">
        <v>516</v>
      </c>
      <c r="C524" s="299" t="s">
        <v>1640</v>
      </c>
      <c r="D524" s="57" t="s">
        <v>494</v>
      </c>
      <c r="E524" s="89" t="s">
        <v>495</v>
      </c>
      <c r="F524" s="41"/>
      <c r="G524" s="41"/>
      <c r="H524" s="41" t="s">
        <v>924</v>
      </c>
      <c r="I524" s="89" t="s">
        <v>930</v>
      </c>
      <c r="J524" s="283">
        <v>207.67</v>
      </c>
      <c r="K524" s="284">
        <f t="shared" si="58"/>
        <v>1</v>
      </c>
      <c r="L524" s="285">
        <v>0</v>
      </c>
      <c r="M524" s="283">
        <f t="shared" si="57"/>
        <v>207.67</v>
      </c>
      <c r="N524" s="88" t="s">
        <v>1639</v>
      </c>
      <c r="O524" s="253">
        <f t="shared" si="59"/>
        <v>207.67</v>
      </c>
      <c r="P524" s="283" t="s">
        <v>918</v>
      </c>
      <c r="Q524" s="283">
        <f t="shared" si="62"/>
        <v>245.05059999999997</v>
      </c>
      <c r="R524" s="283">
        <f t="shared" si="63"/>
        <v>261.66419999999999</v>
      </c>
      <c r="S524" s="33"/>
      <c r="T524" s="33"/>
    </row>
    <row r="525" spans="2:20" ht="38.25" customHeight="1" x14ac:dyDescent="0.25">
      <c r="B525" s="34">
        <v>517</v>
      </c>
      <c r="C525" s="299" t="s">
        <v>1641</v>
      </c>
      <c r="D525" s="57" t="s">
        <v>496</v>
      </c>
      <c r="E525" s="89" t="s">
        <v>497</v>
      </c>
      <c r="F525" s="41"/>
      <c r="G525" s="41"/>
      <c r="H525" s="41" t="s">
        <v>924</v>
      </c>
      <c r="I525" s="89" t="s">
        <v>930</v>
      </c>
      <c r="J525" s="283">
        <v>233.02</v>
      </c>
      <c r="K525" s="284">
        <f t="shared" si="58"/>
        <v>1</v>
      </c>
      <c r="L525" s="285">
        <v>0</v>
      </c>
      <c r="M525" s="283">
        <f t="shared" si="57"/>
        <v>233.02</v>
      </c>
      <c r="N525" s="88" t="s">
        <v>1639</v>
      </c>
      <c r="O525" s="253">
        <f t="shared" si="59"/>
        <v>233.02</v>
      </c>
      <c r="P525" s="283" t="s">
        <v>918</v>
      </c>
      <c r="Q525" s="283">
        <f t="shared" si="62"/>
        <v>274.96359999999999</v>
      </c>
      <c r="R525" s="283">
        <f t="shared" si="63"/>
        <v>293.60520000000002</v>
      </c>
      <c r="S525" s="33"/>
      <c r="T525" s="33"/>
    </row>
    <row r="526" spans="2:20" ht="76.5" customHeight="1" x14ac:dyDescent="0.25">
      <c r="B526" s="34">
        <v>518</v>
      </c>
      <c r="C526" s="299" t="s">
        <v>1642</v>
      </c>
      <c r="D526" s="57" t="s">
        <v>1643</v>
      </c>
      <c r="E526" s="89" t="s">
        <v>495</v>
      </c>
      <c r="F526" s="41"/>
      <c r="G526" s="41"/>
      <c r="H526" s="41" t="s">
        <v>924</v>
      </c>
      <c r="I526" s="89" t="s">
        <v>930</v>
      </c>
      <c r="J526" s="283">
        <v>5441.12</v>
      </c>
      <c r="K526" s="284">
        <f t="shared" si="58"/>
        <v>1</v>
      </c>
      <c r="L526" s="285">
        <v>0</v>
      </c>
      <c r="M526" s="283">
        <f t="shared" si="57"/>
        <v>5441.12</v>
      </c>
      <c r="N526" s="88" t="s">
        <v>1639</v>
      </c>
      <c r="O526" s="253">
        <f t="shared" si="59"/>
        <v>5441.12</v>
      </c>
      <c r="P526" s="283" t="s">
        <v>918</v>
      </c>
      <c r="Q526" s="283">
        <f t="shared" si="62"/>
        <v>6420.5215999999991</v>
      </c>
      <c r="R526" s="283">
        <f t="shared" si="63"/>
        <v>6855.8112000000001</v>
      </c>
      <c r="S526" s="33"/>
      <c r="T526" s="33"/>
    </row>
    <row r="527" spans="2:20" ht="76.5" customHeight="1" x14ac:dyDescent="0.25">
      <c r="B527" s="34">
        <v>519</v>
      </c>
      <c r="C527" s="299" t="s">
        <v>1644</v>
      </c>
      <c r="D527" s="57" t="s">
        <v>1645</v>
      </c>
      <c r="E527" s="89" t="s">
        <v>495</v>
      </c>
      <c r="F527" s="41"/>
      <c r="G527" s="41"/>
      <c r="H527" s="41" t="s">
        <v>924</v>
      </c>
      <c r="I527" s="89" t="s">
        <v>930</v>
      </c>
      <c r="J527" s="283">
        <v>4777.1081656497172</v>
      </c>
      <c r="K527" s="284">
        <f t="shared" si="58"/>
        <v>1</v>
      </c>
      <c r="L527" s="285">
        <v>0</v>
      </c>
      <c r="M527" s="283">
        <f t="shared" si="57"/>
        <v>4777.1081656497172</v>
      </c>
      <c r="N527" s="88" t="s">
        <v>1639</v>
      </c>
      <c r="O527" s="253">
        <f t="shared" si="59"/>
        <v>4777.1081656497172</v>
      </c>
      <c r="P527" s="283" t="s">
        <v>918</v>
      </c>
      <c r="Q527" s="283">
        <f t="shared" si="62"/>
        <v>5636.9876354666658</v>
      </c>
      <c r="R527" s="283">
        <f t="shared" si="63"/>
        <v>6019.1562887186437</v>
      </c>
      <c r="S527" s="33"/>
      <c r="T527" s="33"/>
    </row>
    <row r="528" spans="2:20" ht="76.5" customHeight="1" x14ac:dyDescent="0.25">
      <c r="B528" s="34">
        <v>520</v>
      </c>
      <c r="C528" s="299" t="s">
        <v>1646</v>
      </c>
      <c r="D528" s="57" t="s">
        <v>1647</v>
      </c>
      <c r="E528" s="89" t="s">
        <v>495</v>
      </c>
      <c r="F528" s="41"/>
      <c r="G528" s="41"/>
      <c r="H528" s="41" t="s">
        <v>924</v>
      </c>
      <c r="I528" s="89" t="s">
        <v>930</v>
      </c>
      <c r="J528" s="283">
        <v>4428.755455649718</v>
      </c>
      <c r="K528" s="284">
        <f t="shared" si="58"/>
        <v>1</v>
      </c>
      <c r="L528" s="285">
        <v>0</v>
      </c>
      <c r="M528" s="283">
        <f t="shared" si="57"/>
        <v>4428.755455649718</v>
      </c>
      <c r="N528" s="88" t="s">
        <v>1639</v>
      </c>
      <c r="O528" s="253">
        <f t="shared" si="59"/>
        <v>4428.755455649718</v>
      </c>
      <c r="P528" s="283" t="s">
        <v>918</v>
      </c>
      <c r="Q528" s="283">
        <f t="shared" si="62"/>
        <v>5225.9314376666671</v>
      </c>
      <c r="R528" s="283">
        <f t="shared" si="63"/>
        <v>5580.2318741186446</v>
      </c>
      <c r="S528" s="33"/>
      <c r="T528" s="33"/>
    </row>
    <row r="529" spans="2:25" ht="89.25" customHeight="1" x14ac:dyDescent="0.25">
      <c r="B529" s="34">
        <v>521</v>
      </c>
      <c r="C529" s="299" t="s">
        <v>1648</v>
      </c>
      <c r="D529" s="57" t="s">
        <v>1649</v>
      </c>
      <c r="E529" s="89" t="s">
        <v>495</v>
      </c>
      <c r="F529" s="41"/>
      <c r="G529" s="41"/>
      <c r="H529" s="41" t="s">
        <v>924</v>
      </c>
      <c r="I529" s="89" t="s">
        <v>930</v>
      </c>
      <c r="J529" s="283">
        <v>5441.12</v>
      </c>
      <c r="K529" s="284">
        <f t="shared" si="58"/>
        <v>1</v>
      </c>
      <c r="L529" s="285">
        <v>0</v>
      </c>
      <c r="M529" s="283">
        <f t="shared" si="57"/>
        <v>5441.12</v>
      </c>
      <c r="N529" s="88" t="s">
        <v>1639</v>
      </c>
      <c r="O529" s="253">
        <f t="shared" si="59"/>
        <v>5441.12</v>
      </c>
      <c r="P529" s="283" t="s">
        <v>918</v>
      </c>
      <c r="Q529" s="283">
        <f t="shared" si="62"/>
        <v>6420.5215999999991</v>
      </c>
      <c r="R529" s="283">
        <f t="shared" si="63"/>
        <v>6855.8112000000001</v>
      </c>
      <c r="S529" s="33"/>
      <c r="T529" s="33"/>
    </row>
    <row r="530" spans="2:25" customFormat="1" ht="15" customHeight="1" x14ac:dyDescent="0.25">
      <c r="B530" s="34">
        <v>522</v>
      </c>
      <c r="C530" s="84" t="s">
        <v>1650</v>
      </c>
      <c r="D530" s="163" t="s">
        <v>1651</v>
      </c>
      <c r="E530" s="104" t="s">
        <v>1652</v>
      </c>
      <c r="F530" s="41"/>
      <c r="G530" s="41"/>
      <c r="H530" s="41" t="s">
        <v>924</v>
      </c>
      <c r="I530" s="104" t="s">
        <v>916</v>
      </c>
      <c r="J530" s="283">
        <v>65000</v>
      </c>
      <c r="K530" s="284">
        <f t="shared" si="58"/>
        <v>1</v>
      </c>
      <c r="L530" s="285">
        <v>0</v>
      </c>
      <c r="M530" s="283">
        <f t="shared" si="57"/>
        <v>65000</v>
      </c>
      <c r="N530" s="307" t="s">
        <v>1653</v>
      </c>
      <c r="O530" s="253">
        <f t="shared" si="59"/>
        <v>65000</v>
      </c>
      <c r="P530" s="283" t="s">
        <v>918</v>
      </c>
      <c r="Q530" s="283">
        <f t="shared" si="62"/>
        <v>76700</v>
      </c>
      <c r="R530" s="283">
        <f t="shared" si="63"/>
        <v>81900</v>
      </c>
      <c r="T530" s="33"/>
      <c r="U530" s="33"/>
      <c r="V530" s="33"/>
      <c r="W530" s="33"/>
      <c r="X530" s="33"/>
      <c r="Y530" s="33"/>
    </row>
    <row r="531" spans="2:25" x14ac:dyDescent="0.25">
      <c r="N531" s="33"/>
    </row>
    <row r="532" spans="2:25" x14ac:dyDescent="0.25">
      <c r="M532" s="309">
        <v>2.8319999999999999</v>
      </c>
    </row>
    <row r="533" spans="2:25" x14ac:dyDescent="0.25">
      <c r="K533" s="309">
        <v>0.12</v>
      </c>
      <c r="L533" s="309">
        <v>1</v>
      </c>
      <c r="M533" s="309">
        <f t="shared" ref="M533:M538" si="64">$M$532*K533</f>
        <v>0.33983999999999998</v>
      </c>
      <c r="N533" s="261">
        <v>9117.65</v>
      </c>
      <c r="O533" s="33">
        <f>M533*N533</f>
        <v>3098.5421759999995</v>
      </c>
    </row>
    <row r="534" spans="2:25" x14ac:dyDescent="0.25">
      <c r="K534" s="309">
        <v>0.48</v>
      </c>
      <c r="L534" s="309">
        <v>4</v>
      </c>
      <c r="M534" s="309">
        <f t="shared" si="64"/>
        <v>1.3593599999999999</v>
      </c>
      <c r="N534" s="261">
        <v>215.6</v>
      </c>
      <c r="O534" s="33">
        <f>M534*N534</f>
        <v>293.07801599999999</v>
      </c>
    </row>
    <row r="535" spans="2:25" x14ac:dyDescent="0.25">
      <c r="K535" s="309">
        <v>0.96</v>
      </c>
      <c r="L535" s="309">
        <v>8</v>
      </c>
      <c r="M535" s="309">
        <f t="shared" si="64"/>
        <v>2.7187199999999998</v>
      </c>
      <c r="N535" s="261">
        <v>1158.2</v>
      </c>
      <c r="O535" s="33">
        <f>M535*N535</f>
        <v>3148.821504</v>
      </c>
    </row>
    <row r="536" spans="2:25" x14ac:dyDescent="0.25">
      <c r="K536" s="309">
        <v>0.156</v>
      </c>
      <c r="L536" s="309">
        <v>1</v>
      </c>
      <c r="M536" s="309">
        <f t="shared" si="64"/>
        <v>0.44179199999999996</v>
      </c>
      <c r="N536" s="261">
        <v>9117.65</v>
      </c>
      <c r="P536" s="33">
        <f>M536*N536</f>
        <v>4028.1048287999997</v>
      </c>
    </row>
    <row r="537" spans="2:25" x14ac:dyDescent="0.25">
      <c r="K537" s="309">
        <v>0.47</v>
      </c>
      <c r="L537" s="309">
        <v>3</v>
      </c>
      <c r="M537" s="309">
        <f t="shared" si="64"/>
        <v>1.3310399999999998</v>
      </c>
      <c r="N537" s="261">
        <v>215.6</v>
      </c>
      <c r="P537" s="33">
        <f>M537*N537</f>
        <v>286.97222399999993</v>
      </c>
    </row>
    <row r="538" spans="2:25" x14ac:dyDescent="0.25">
      <c r="K538" s="309">
        <v>0.94</v>
      </c>
      <c r="L538" s="309">
        <v>6</v>
      </c>
      <c r="M538" s="309">
        <f t="shared" si="64"/>
        <v>2.6620799999999996</v>
      </c>
      <c r="N538" s="261">
        <v>1158.2</v>
      </c>
      <c r="P538" s="33">
        <f>M538*N538</f>
        <v>3083.2210559999994</v>
      </c>
    </row>
    <row r="539" spans="2:25" x14ac:dyDescent="0.25">
      <c r="O539" s="33">
        <f>SUM(O533:O535)</f>
        <v>6540.4416959999999</v>
      </c>
      <c r="P539" s="33">
        <f>SUM(P536:P538)</f>
        <v>7398.2981087999988</v>
      </c>
    </row>
    <row r="540" spans="2:25" x14ac:dyDescent="0.25">
      <c r="O540" s="33">
        <v>2780.76</v>
      </c>
      <c r="P540" s="33">
        <v>2780.76</v>
      </c>
    </row>
    <row r="541" spans="2:25" x14ac:dyDescent="0.25">
      <c r="O541" s="33">
        <v>729.01</v>
      </c>
      <c r="P541" s="33">
        <v>729.01</v>
      </c>
    </row>
    <row r="542" spans="2:25" x14ac:dyDescent="0.25">
      <c r="O542" s="33">
        <v>856.08</v>
      </c>
      <c r="P542" s="33">
        <v>856.08</v>
      </c>
    </row>
    <row r="543" spans="2:25" x14ac:dyDescent="0.25">
      <c r="O543" s="33">
        <f>SUM(O539:O542)</f>
        <v>10906.291696</v>
      </c>
      <c r="P543" s="33">
        <f>SUM(P539:P542)</f>
        <v>11764.1481088</v>
      </c>
    </row>
    <row r="544" spans="2:25" x14ac:dyDescent="0.25">
      <c r="N544" s="261">
        <f>13399.56*1.15</f>
        <v>15409.493999999999</v>
      </c>
      <c r="O544" s="33">
        <f>O543*1.15</f>
        <v>12542.2354504</v>
      </c>
      <c r="P544" s="33">
        <f>P543*1.15</f>
        <v>13528.770325119998</v>
      </c>
    </row>
    <row r="545" spans="15:16" x14ac:dyDescent="0.25">
      <c r="O545" s="33">
        <f>O544/M532</f>
        <v>4428.755455649718</v>
      </c>
      <c r="P545" s="33">
        <f>P544/M532</f>
        <v>4777.1081656497172</v>
      </c>
    </row>
  </sheetData>
  <autoFilter ref="A7:AC530"/>
  <mergeCells count="16">
    <mergeCell ref="B521:E521"/>
    <mergeCell ref="Q5:Q6"/>
    <mergeCell ref="Q4:R4"/>
    <mergeCell ref="R5:R6"/>
    <mergeCell ref="I4:I6"/>
    <mergeCell ref="J4:N5"/>
    <mergeCell ref="O4:P5"/>
    <mergeCell ref="D2:E3"/>
    <mergeCell ref="J2:J3"/>
    <mergeCell ref="B4:B6"/>
    <mergeCell ref="C4:C6"/>
    <mergeCell ref="D4:D6"/>
    <mergeCell ref="E4:E6"/>
    <mergeCell ref="F4:F6"/>
    <mergeCell ref="G4:G6"/>
    <mergeCell ref="H4:H6"/>
  </mergeCells>
  <conditionalFormatting sqref="N522 N258 N98 N37:N38 N41 N68:N69 N145 N149 N365 N8:N9 N43 N195 N205 N217:N220 N73:N89 N119 N125:N142 N487 N360 N362 N368:N392 N394:N403 N464 N413:N416 N262:N269 N164:N167 N12:N15 N122 N189:N190 N192 N199 N207:N209 N211:N212 N214:N215 N238:N239 N243:N246 N114 N17:N30 N489 N222:N233 N32:N34 N100:N112 N47:N63 N65:N66 N71 N151:N154 N156:N162 N169:N185 N272:N347 N407:N411 N469:N480">
    <cfRule type="expression" dxfId="979" priority="1001">
      <formula>I8="RO"</formula>
    </cfRule>
    <cfRule type="expression" dxfId="978" priority="1002">
      <formula>I8="HO"</formula>
    </cfRule>
  </conditionalFormatting>
  <conditionalFormatting sqref="I522 I530 I362 I365 I394:I405 I407 I516:I520 I8:I10 I487:I490 I12:I112 I114:I162 I164:I360 I410:I411 I413:I482">
    <cfRule type="cellIs" dxfId="977" priority="999" operator="equal">
      <formula>"RO"</formula>
    </cfRule>
    <cfRule type="cellIs" dxfId="976" priority="1000" operator="equal">
      <formula>"HO"</formula>
    </cfRule>
  </conditionalFormatting>
  <conditionalFormatting sqref="I523">
    <cfRule type="cellIs" dxfId="975" priority="995" operator="equal">
      <formula>"RO"</formula>
    </cfRule>
    <cfRule type="cellIs" dxfId="974" priority="996" operator="equal">
      <formula>"HO"</formula>
    </cfRule>
  </conditionalFormatting>
  <conditionalFormatting sqref="N523">
    <cfRule type="expression" dxfId="973" priority="997">
      <formula>I523="RO"</formula>
    </cfRule>
    <cfRule type="expression" dxfId="972" priority="998">
      <formula>I523="HO"</formula>
    </cfRule>
  </conditionalFormatting>
  <conditionalFormatting sqref="I524">
    <cfRule type="cellIs" dxfId="971" priority="993" operator="equal">
      <formula>"RO"</formula>
    </cfRule>
    <cfRule type="cellIs" dxfId="970" priority="994" operator="equal">
      <formula>"HO"</formula>
    </cfRule>
  </conditionalFormatting>
  <conditionalFormatting sqref="I525">
    <cfRule type="cellIs" dxfId="969" priority="991" operator="equal">
      <formula>"RO"</formula>
    </cfRule>
    <cfRule type="cellIs" dxfId="968" priority="992" operator="equal">
      <formula>"HO"</formula>
    </cfRule>
  </conditionalFormatting>
  <conditionalFormatting sqref="I526">
    <cfRule type="cellIs" dxfId="967" priority="989" operator="equal">
      <formula>"RO"</formula>
    </cfRule>
    <cfRule type="cellIs" dxfId="966" priority="990" operator="equal">
      <formula>"HO"</formula>
    </cfRule>
  </conditionalFormatting>
  <conditionalFormatting sqref="I529">
    <cfRule type="cellIs" dxfId="965" priority="987" operator="equal">
      <formula>"RO"</formula>
    </cfRule>
    <cfRule type="cellIs" dxfId="964" priority="988" operator="equal">
      <formula>"HO"</formula>
    </cfRule>
  </conditionalFormatting>
  <conditionalFormatting sqref="N524">
    <cfRule type="expression" dxfId="963" priority="985">
      <formula>I524="RO"</formula>
    </cfRule>
    <cfRule type="expression" dxfId="962" priority="986">
      <formula>I524="HO"</formula>
    </cfRule>
  </conditionalFormatting>
  <conditionalFormatting sqref="N525">
    <cfRule type="expression" dxfId="961" priority="983">
      <formula>I525="RO"</formula>
    </cfRule>
    <cfRule type="expression" dxfId="960" priority="984">
      <formula>I525="HO"</formula>
    </cfRule>
  </conditionalFormatting>
  <conditionalFormatting sqref="N526">
    <cfRule type="expression" dxfId="959" priority="981">
      <formula>I526="RO"</formula>
    </cfRule>
    <cfRule type="expression" dxfId="958" priority="982">
      <formula>I526="HO"</formula>
    </cfRule>
  </conditionalFormatting>
  <conditionalFormatting sqref="N529">
    <cfRule type="expression" dxfId="957" priority="979">
      <formula>I529="RO"</formula>
    </cfRule>
    <cfRule type="expression" dxfId="956" priority="980">
      <formula>I529="HO"</formula>
    </cfRule>
  </conditionalFormatting>
  <conditionalFormatting sqref="M8 M13:M15 M104 M110:M112 M516:M530 M217:M223 M17:M102 M114:M167 M169:M215 M228:M250 M253:M482 M487:M508">
    <cfRule type="expression" dxfId="955" priority="1003">
      <formula>I8="RO"</formula>
    </cfRule>
    <cfRule type="expression" dxfId="954" priority="1004">
      <formula>I8="HO"</formula>
    </cfRule>
  </conditionalFormatting>
  <conditionalFormatting sqref="J350:J354 J368:J392 J394:J403 J360:J362 J365 J8:L8 J266 J521:J526 J256:J262 J421:J422 J415:J416 J270 J510:J515 J529:J530 J9:J112 J114:J252 J272:J347 J407:J411 J428:J490">
    <cfRule type="expression" dxfId="953" priority="977">
      <formula>I8="HO"</formula>
    </cfRule>
    <cfRule type="expression" dxfId="952" priority="978">
      <formula>I8="RO"</formula>
    </cfRule>
  </conditionalFormatting>
  <conditionalFormatting sqref="I163">
    <cfRule type="cellIs" dxfId="951" priority="975" operator="equal">
      <formula>"RO"</formula>
    </cfRule>
    <cfRule type="cellIs" dxfId="950" priority="976" operator="equal">
      <formula>"HO"</formula>
    </cfRule>
  </conditionalFormatting>
  <conditionalFormatting sqref="N247">
    <cfRule type="expression" dxfId="949" priority="957">
      <formula>I247="RO"</formula>
    </cfRule>
    <cfRule type="expression" dxfId="948" priority="958">
      <formula>I247="HO"</formula>
    </cfRule>
  </conditionalFormatting>
  <conditionalFormatting sqref="N412">
    <cfRule type="expression" dxfId="947" priority="955">
      <formula>I412="RO"</formula>
    </cfRule>
    <cfRule type="expression" dxfId="946" priority="956">
      <formula>I412="HO"</formula>
    </cfRule>
  </conditionalFormatting>
  <conditionalFormatting sqref="I412">
    <cfRule type="cellIs" dxfId="945" priority="953" operator="equal">
      <formula>"RO"</formula>
    </cfRule>
    <cfRule type="cellIs" dxfId="944" priority="954" operator="equal">
      <formula>"HO"</formula>
    </cfRule>
  </conditionalFormatting>
  <conditionalFormatting sqref="J412">
    <cfRule type="expression" dxfId="943" priority="951">
      <formula>I412="HO"</formula>
    </cfRule>
    <cfRule type="expression" dxfId="942" priority="952">
      <formula>I412="RO"</formula>
    </cfRule>
  </conditionalFormatting>
  <conditionalFormatting sqref="L360 L362 L308 L310 L345:L347 L349:L354 L394:L403 L312:L343 L368:L392 L464 L413:L415 L125:L142 L119:L122 L116 L41:L44 L529 L521:L526 L100:L102 L68:L69 L266 L365 L88 L86 L84 L82 L80 L78 L76 L74 L64:L65 L37:L38 L28:L30 L49:L50 L98 L208:L215 L149 L145 L292:L306 K9:L10 K12:L15 L114 L17:L26 L52:L61 K104:L104 K110:L112 L253:L262 K516:K529 K530:L530 L32:L34 K487:K508 L487:L490 K217:L223 L71:L72 K17:K102 L151:L167 K114:K167 L169:L192 L194:L203 K169:K216 K228:L250 L270:L290 L406:L411 L469:L482 K253:K482">
    <cfRule type="expression" dxfId="941" priority="947">
      <formula>#REF!="HO"</formula>
    </cfRule>
    <cfRule type="expression" dxfId="940" priority="948">
      <formula>#REF!="RO"</formula>
    </cfRule>
  </conditionalFormatting>
  <conditionalFormatting sqref="N290">
    <cfRule type="expression" dxfId="939" priority="945">
      <formula>I290="RO"</formula>
    </cfRule>
    <cfRule type="expression" dxfId="938" priority="946">
      <formula>I290="HO"</formula>
    </cfRule>
  </conditionalFormatting>
  <conditionalFormatting sqref="I368:I392 I408:I409">
    <cfRule type="cellIs" dxfId="937" priority="943" operator="equal">
      <formula>"RO"</formula>
    </cfRule>
    <cfRule type="cellIs" dxfId="936" priority="944" operator="equal">
      <formula>"HO"</formula>
    </cfRule>
  </conditionalFormatting>
  <conditionalFormatting sqref="L348">
    <cfRule type="expression" dxfId="935" priority="941">
      <formula>#REF!="HO"</formula>
    </cfRule>
    <cfRule type="expression" dxfId="934" priority="942">
      <formula>#REF!="RO"</formula>
    </cfRule>
  </conditionalFormatting>
  <conditionalFormatting sqref="J357">
    <cfRule type="expression" dxfId="933" priority="907">
      <formula>I357="HO"</formula>
    </cfRule>
    <cfRule type="expression" dxfId="932" priority="908">
      <formula>I357="RO"</formula>
    </cfRule>
  </conditionalFormatting>
  <conditionalFormatting sqref="J350:J354">
    <cfRule type="expression" dxfId="931" priority="939">
      <formula>I350="HO"</formula>
    </cfRule>
    <cfRule type="expression" dxfId="930" priority="940">
      <formula>I350="RO"</formula>
    </cfRule>
  </conditionalFormatting>
  <conditionalFormatting sqref="J291">
    <cfRule type="expression" dxfId="929" priority="937">
      <formula>I291="HO"</formula>
    </cfRule>
    <cfRule type="expression" dxfId="928" priority="938">
      <formula>I291="RO"</formula>
    </cfRule>
  </conditionalFormatting>
  <conditionalFormatting sqref="J297">
    <cfRule type="expression" dxfId="927" priority="935">
      <formula>I297="HO"</formula>
    </cfRule>
    <cfRule type="expression" dxfId="926" priority="936">
      <formula>I297="RO"</formula>
    </cfRule>
  </conditionalFormatting>
  <conditionalFormatting sqref="J321">
    <cfRule type="expression" dxfId="925" priority="933">
      <formula>I321="HO"</formula>
    </cfRule>
    <cfRule type="expression" dxfId="924" priority="934">
      <formula>I321="RO"</formula>
    </cfRule>
  </conditionalFormatting>
  <conditionalFormatting sqref="J371">
    <cfRule type="expression" dxfId="923" priority="931">
      <formula>I371="HO"</formula>
    </cfRule>
    <cfRule type="expression" dxfId="922" priority="932">
      <formula>I371="RO"</formula>
    </cfRule>
  </conditionalFormatting>
  <conditionalFormatting sqref="J377">
    <cfRule type="expression" dxfId="921" priority="929">
      <formula>I377="HO"</formula>
    </cfRule>
    <cfRule type="expression" dxfId="920" priority="930">
      <formula>I377="RO"</formula>
    </cfRule>
  </conditionalFormatting>
  <conditionalFormatting sqref="J391">
    <cfRule type="expression" dxfId="919" priority="927">
      <formula>I391="HO"</formula>
    </cfRule>
    <cfRule type="expression" dxfId="918" priority="928">
      <formula>I391="RO"</formula>
    </cfRule>
  </conditionalFormatting>
  <conditionalFormatting sqref="J397">
    <cfRule type="expression" dxfId="917" priority="925">
      <formula>I397="HO"</formula>
    </cfRule>
    <cfRule type="expression" dxfId="916" priority="926">
      <formula>I397="RO"</formula>
    </cfRule>
  </conditionalFormatting>
  <conditionalFormatting sqref="J401">
    <cfRule type="expression" dxfId="915" priority="923">
      <formula>I401="HO"</formula>
    </cfRule>
    <cfRule type="expression" dxfId="914" priority="924">
      <formula>I401="RO"</formula>
    </cfRule>
  </conditionalFormatting>
  <conditionalFormatting sqref="J408">
    <cfRule type="expression" dxfId="913" priority="921">
      <formula>I408="HO"</formula>
    </cfRule>
    <cfRule type="expression" dxfId="912" priority="922">
      <formula>I408="RO"</formula>
    </cfRule>
  </conditionalFormatting>
  <conditionalFormatting sqref="J348">
    <cfRule type="expression" dxfId="911" priority="919">
      <formula>I348="HO"</formula>
    </cfRule>
    <cfRule type="expression" dxfId="910" priority="920">
      <formula>I348="RO"</formula>
    </cfRule>
  </conditionalFormatting>
  <conditionalFormatting sqref="J366">
    <cfRule type="expression" dxfId="909" priority="875">
      <formula>I366="HO"</formula>
    </cfRule>
    <cfRule type="expression" dxfId="908" priority="876">
      <formula>I366="RO"</formula>
    </cfRule>
  </conditionalFormatting>
  <conditionalFormatting sqref="J349">
    <cfRule type="expression" dxfId="907" priority="1005">
      <formula>I348="HO"</formula>
    </cfRule>
    <cfRule type="expression" dxfId="906" priority="1006">
      <formula>I348="RO"</formula>
    </cfRule>
  </conditionalFormatting>
  <conditionalFormatting sqref="J355">
    <cfRule type="expression" dxfId="905" priority="917">
      <formula>I355="HO"</formula>
    </cfRule>
    <cfRule type="expression" dxfId="904" priority="918">
      <formula>I355="RO"</formula>
    </cfRule>
  </conditionalFormatting>
  <conditionalFormatting sqref="J355">
    <cfRule type="expression" dxfId="903" priority="915">
      <formula>I355="HO"</formula>
    </cfRule>
    <cfRule type="expression" dxfId="902" priority="916">
      <formula>I355="RO"</formula>
    </cfRule>
  </conditionalFormatting>
  <conditionalFormatting sqref="J356">
    <cfRule type="expression" dxfId="901" priority="913">
      <formula>I356="HO"</formula>
    </cfRule>
    <cfRule type="expression" dxfId="900" priority="914">
      <formula>I356="RO"</formula>
    </cfRule>
  </conditionalFormatting>
  <conditionalFormatting sqref="L356">
    <cfRule type="expression" dxfId="899" priority="911">
      <formula>#REF!="HO"</formula>
    </cfRule>
    <cfRule type="expression" dxfId="898" priority="912">
      <formula>#REF!="RO"</formula>
    </cfRule>
  </conditionalFormatting>
  <conditionalFormatting sqref="J356">
    <cfRule type="expression" dxfId="897" priority="909">
      <formula>I356="HO"</formula>
    </cfRule>
    <cfRule type="expression" dxfId="896" priority="910">
      <formula>I356="RO"</formula>
    </cfRule>
  </conditionalFormatting>
  <conditionalFormatting sqref="J357">
    <cfRule type="expression" dxfId="895" priority="905">
      <formula>I357="HO"</formula>
    </cfRule>
    <cfRule type="expression" dxfId="894" priority="906">
      <formula>I357="RO"</formula>
    </cfRule>
  </conditionalFormatting>
  <conditionalFormatting sqref="J358">
    <cfRule type="expression" dxfId="893" priority="903">
      <formula>I358="HO"</formula>
    </cfRule>
    <cfRule type="expression" dxfId="892" priority="904">
      <formula>I358="RO"</formula>
    </cfRule>
  </conditionalFormatting>
  <conditionalFormatting sqref="L358">
    <cfRule type="expression" dxfId="891" priority="901">
      <formula>#REF!="HO"</formula>
    </cfRule>
    <cfRule type="expression" dxfId="890" priority="902">
      <formula>#REF!="RO"</formula>
    </cfRule>
  </conditionalFormatting>
  <conditionalFormatting sqref="J358">
    <cfRule type="expression" dxfId="889" priority="899">
      <formula>I358="HO"</formula>
    </cfRule>
    <cfRule type="expression" dxfId="888" priority="900">
      <formula>I358="RO"</formula>
    </cfRule>
  </conditionalFormatting>
  <conditionalFormatting sqref="J359">
    <cfRule type="expression" dxfId="887" priority="897">
      <formula>I359="HO"</formula>
    </cfRule>
    <cfRule type="expression" dxfId="886" priority="898">
      <formula>I359="RO"</formula>
    </cfRule>
  </conditionalFormatting>
  <conditionalFormatting sqref="J359">
    <cfRule type="expression" dxfId="885" priority="895">
      <formula>I359="HO"</formula>
    </cfRule>
    <cfRule type="expression" dxfId="884" priority="896">
      <formula>I359="RO"</formula>
    </cfRule>
  </conditionalFormatting>
  <conditionalFormatting sqref="J363">
    <cfRule type="expression" dxfId="883" priority="893">
      <formula>I363="HO"</formula>
    </cfRule>
    <cfRule type="expression" dxfId="882" priority="894">
      <formula>I363="RO"</formula>
    </cfRule>
  </conditionalFormatting>
  <conditionalFormatting sqref="I363">
    <cfRule type="cellIs" dxfId="881" priority="891" operator="equal">
      <formula>"RO"</formula>
    </cfRule>
    <cfRule type="cellIs" dxfId="880" priority="892" operator="equal">
      <formula>"HO"</formula>
    </cfRule>
  </conditionalFormatting>
  <conditionalFormatting sqref="J363">
    <cfRule type="expression" dxfId="879" priority="889">
      <formula>I363="HO"</formula>
    </cfRule>
    <cfRule type="expression" dxfId="878" priority="890">
      <formula>I363="RO"</formula>
    </cfRule>
  </conditionalFormatting>
  <conditionalFormatting sqref="J364">
    <cfRule type="expression" dxfId="877" priority="887">
      <formula>I364="HO"</formula>
    </cfRule>
    <cfRule type="expression" dxfId="876" priority="888">
      <formula>I364="RO"</formula>
    </cfRule>
  </conditionalFormatting>
  <conditionalFormatting sqref="N364">
    <cfRule type="expression" dxfId="875" priority="885">
      <formula>I364="RO"</formula>
    </cfRule>
    <cfRule type="expression" dxfId="874" priority="886">
      <formula>I364="HO"</formula>
    </cfRule>
  </conditionalFormatting>
  <conditionalFormatting sqref="L364">
    <cfRule type="expression" dxfId="873" priority="883">
      <formula>#REF!="HO"</formula>
    </cfRule>
    <cfRule type="expression" dxfId="872" priority="884">
      <formula>#REF!="RO"</formula>
    </cfRule>
  </conditionalFormatting>
  <conditionalFormatting sqref="I364">
    <cfRule type="cellIs" dxfId="871" priority="881" operator="equal">
      <formula>"RO"</formula>
    </cfRule>
    <cfRule type="cellIs" dxfId="870" priority="882" operator="equal">
      <formula>"HO"</formula>
    </cfRule>
  </conditionalFormatting>
  <conditionalFormatting sqref="J364">
    <cfRule type="expression" dxfId="869" priority="879">
      <formula>I364="HO"</formula>
    </cfRule>
    <cfRule type="expression" dxfId="868" priority="880">
      <formula>I364="RO"</formula>
    </cfRule>
  </conditionalFormatting>
  <conditionalFormatting sqref="N364">
    <cfRule type="expression" dxfId="867" priority="877">
      <formula>I364="RO"</formula>
    </cfRule>
    <cfRule type="expression" dxfId="866" priority="878">
      <formula>I364="HO"</formula>
    </cfRule>
  </conditionalFormatting>
  <conditionalFormatting sqref="L366">
    <cfRule type="expression" dxfId="865" priority="873">
      <formula>#REF!="HO"</formula>
    </cfRule>
    <cfRule type="expression" dxfId="864" priority="874">
      <formula>#REF!="RO"</formula>
    </cfRule>
  </conditionalFormatting>
  <conditionalFormatting sqref="I366">
    <cfRule type="cellIs" dxfId="863" priority="871" operator="equal">
      <formula>"RO"</formula>
    </cfRule>
    <cfRule type="cellIs" dxfId="862" priority="872" operator="equal">
      <formula>"HO"</formula>
    </cfRule>
  </conditionalFormatting>
  <conditionalFormatting sqref="J366">
    <cfRule type="expression" dxfId="861" priority="869">
      <formula>I366="HO"</formula>
    </cfRule>
    <cfRule type="expression" dxfId="860" priority="870">
      <formula>I366="RO"</formula>
    </cfRule>
  </conditionalFormatting>
  <conditionalFormatting sqref="J367">
    <cfRule type="expression" dxfId="859" priority="867">
      <formula>I367="HO"</formula>
    </cfRule>
    <cfRule type="expression" dxfId="858" priority="868">
      <formula>I367="RO"</formula>
    </cfRule>
  </conditionalFormatting>
  <conditionalFormatting sqref="I367">
    <cfRule type="cellIs" dxfId="857" priority="865" operator="equal">
      <formula>"RO"</formula>
    </cfRule>
    <cfRule type="cellIs" dxfId="856" priority="866" operator="equal">
      <formula>"HO"</formula>
    </cfRule>
  </conditionalFormatting>
  <conditionalFormatting sqref="J367">
    <cfRule type="expression" dxfId="855" priority="863">
      <formula>I367="HO"</formula>
    </cfRule>
    <cfRule type="expression" dxfId="854" priority="864">
      <formula>I367="RO"</formula>
    </cfRule>
  </conditionalFormatting>
  <conditionalFormatting sqref="I361">
    <cfRule type="cellIs" dxfId="853" priority="861" operator="equal">
      <formula>"RO"</formula>
    </cfRule>
    <cfRule type="cellIs" dxfId="852" priority="862" operator="equal">
      <formula>"HO"</formula>
    </cfRule>
  </conditionalFormatting>
  <conditionalFormatting sqref="J393">
    <cfRule type="expression" dxfId="851" priority="859">
      <formula>I393="HO"</formula>
    </cfRule>
    <cfRule type="expression" dxfId="850" priority="860">
      <formula>I393="RO"</formula>
    </cfRule>
  </conditionalFormatting>
  <conditionalFormatting sqref="I393">
    <cfRule type="cellIs" dxfId="849" priority="857" operator="equal">
      <formula>"RO"</formula>
    </cfRule>
    <cfRule type="cellIs" dxfId="848" priority="858" operator="equal">
      <formula>"HO"</formula>
    </cfRule>
  </conditionalFormatting>
  <conditionalFormatting sqref="J393">
    <cfRule type="expression" dxfId="847" priority="855">
      <formula>I393="HO"</formula>
    </cfRule>
    <cfRule type="expression" dxfId="846" priority="856">
      <formula>I393="RO"</formula>
    </cfRule>
  </conditionalFormatting>
  <conditionalFormatting sqref="J404">
    <cfRule type="expression" dxfId="845" priority="853">
      <formula>I404="HO"</formula>
    </cfRule>
    <cfRule type="expression" dxfId="844" priority="854">
      <formula>I404="RO"</formula>
    </cfRule>
  </conditionalFormatting>
  <conditionalFormatting sqref="L404">
    <cfRule type="expression" dxfId="843" priority="851">
      <formula>#REF!="HO"</formula>
    </cfRule>
    <cfRule type="expression" dxfId="842" priority="852">
      <formula>#REF!="RO"</formula>
    </cfRule>
  </conditionalFormatting>
  <conditionalFormatting sqref="J404">
    <cfRule type="expression" dxfId="841" priority="849">
      <formula>I404="HO"</formula>
    </cfRule>
    <cfRule type="expression" dxfId="840" priority="850">
      <formula>I404="RO"</formula>
    </cfRule>
  </conditionalFormatting>
  <conditionalFormatting sqref="J405">
    <cfRule type="expression" dxfId="839" priority="847">
      <formula>I405="HO"</formula>
    </cfRule>
    <cfRule type="expression" dxfId="838" priority="848">
      <formula>I405="RO"</formula>
    </cfRule>
  </conditionalFormatting>
  <conditionalFormatting sqref="J405">
    <cfRule type="expression" dxfId="837" priority="845">
      <formula>I405="HO"</formula>
    </cfRule>
    <cfRule type="expression" dxfId="836" priority="846">
      <formula>I405="RO"</formula>
    </cfRule>
  </conditionalFormatting>
  <conditionalFormatting sqref="J406">
    <cfRule type="expression" dxfId="835" priority="843">
      <formula>I406="HO"</formula>
    </cfRule>
    <cfRule type="expression" dxfId="834" priority="844">
      <formula>I406="RO"</formula>
    </cfRule>
  </conditionalFormatting>
  <conditionalFormatting sqref="L406">
    <cfRule type="expression" dxfId="833" priority="841">
      <formula>#REF!="HO"</formula>
    </cfRule>
    <cfRule type="expression" dxfId="832" priority="842">
      <formula>#REF!="RO"</formula>
    </cfRule>
  </conditionalFormatting>
  <conditionalFormatting sqref="I406">
    <cfRule type="cellIs" dxfId="831" priority="839" operator="equal">
      <formula>"RO"</formula>
    </cfRule>
    <cfRule type="cellIs" dxfId="830" priority="840" operator="equal">
      <formula>"HO"</formula>
    </cfRule>
  </conditionalFormatting>
  <conditionalFormatting sqref="J406">
    <cfRule type="expression" dxfId="829" priority="837">
      <formula>I406="HO"</formula>
    </cfRule>
    <cfRule type="expression" dxfId="828" priority="838">
      <formula>I406="RO"</formula>
    </cfRule>
  </conditionalFormatting>
  <conditionalFormatting sqref="J263">
    <cfRule type="expression" dxfId="827" priority="835">
      <formula>I263="HO"</formula>
    </cfRule>
    <cfRule type="expression" dxfId="826" priority="836">
      <formula>I263="RO"</formula>
    </cfRule>
  </conditionalFormatting>
  <conditionalFormatting sqref="J264">
    <cfRule type="expression" dxfId="825" priority="833">
      <formula>I264="HO"</formula>
    </cfRule>
    <cfRule type="expression" dxfId="824" priority="834">
      <formula>I264="RO"</formula>
    </cfRule>
  </conditionalFormatting>
  <conditionalFormatting sqref="J265">
    <cfRule type="expression" dxfId="823" priority="831">
      <formula>I265="HO"</formula>
    </cfRule>
    <cfRule type="expression" dxfId="822" priority="832">
      <formula>I265="RO"</formula>
    </cfRule>
  </conditionalFormatting>
  <conditionalFormatting sqref="J267">
    <cfRule type="expression" dxfId="821" priority="829">
      <formula>I267="HO"</formula>
    </cfRule>
    <cfRule type="expression" dxfId="820" priority="830">
      <formula>I267="RO"</formula>
    </cfRule>
  </conditionalFormatting>
  <conditionalFormatting sqref="J268">
    <cfRule type="expression" dxfId="819" priority="827">
      <formula>I268="HO"</formula>
    </cfRule>
    <cfRule type="expression" dxfId="818" priority="828">
      <formula>I268="RO"</formula>
    </cfRule>
  </conditionalFormatting>
  <conditionalFormatting sqref="J269">
    <cfRule type="expression" dxfId="817" priority="825">
      <formula>I269="HO"</formula>
    </cfRule>
    <cfRule type="expression" dxfId="816" priority="826">
      <formula>I269="RO"</formula>
    </cfRule>
  </conditionalFormatting>
  <conditionalFormatting sqref="L491">
    <cfRule type="expression" dxfId="815" priority="823">
      <formula>#REF!="HO"</formula>
    </cfRule>
    <cfRule type="expression" dxfId="814" priority="824">
      <formula>#REF!="RO"</formula>
    </cfRule>
  </conditionalFormatting>
  <conditionalFormatting sqref="I491:I508">
    <cfRule type="cellIs" dxfId="813" priority="821" operator="equal">
      <formula>"RO"</formula>
    </cfRule>
    <cfRule type="cellIs" dxfId="812" priority="822" operator="equal">
      <formula>"HO"</formula>
    </cfRule>
  </conditionalFormatting>
  <conditionalFormatting sqref="L27">
    <cfRule type="expression" dxfId="811" priority="819">
      <formula>#REF!="HO"</formula>
    </cfRule>
    <cfRule type="expression" dxfId="810" priority="820">
      <formula>#REF!="RO"</formula>
    </cfRule>
  </conditionalFormatting>
  <conditionalFormatting sqref="L45">
    <cfRule type="expression" dxfId="809" priority="817">
      <formula>#REF!="HO"</formula>
    </cfRule>
    <cfRule type="expression" dxfId="808" priority="818">
      <formula>#REF!="RO"</formula>
    </cfRule>
  </conditionalFormatting>
  <conditionalFormatting sqref="L48">
    <cfRule type="expression" dxfId="807" priority="815">
      <formula>#REF!="HO"</formula>
    </cfRule>
    <cfRule type="expression" dxfId="806" priority="816">
      <formula>#REF!="RO"</formula>
    </cfRule>
  </conditionalFormatting>
  <conditionalFormatting sqref="L90">
    <cfRule type="expression" dxfId="805" priority="813">
      <formula>#REF!="HO"</formula>
    </cfRule>
    <cfRule type="expression" dxfId="804" priority="814">
      <formula>#REF!="RO"</formula>
    </cfRule>
  </conditionalFormatting>
  <conditionalFormatting sqref="N96">
    <cfRule type="expression" dxfId="803" priority="811">
      <formula>I96="RO"</formula>
    </cfRule>
    <cfRule type="expression" dxfId="802" priority="812">
      <formula>I96="HO"</formula>
    </cfRule>
  </conditionalFormatting>
  <conditionalFormatting sqref="L99">
    <cfRule type="expression" dxfId="801" priority="809">
      <formula>#REF!="HO"</formula>
    </cfRule>
    <cfRule type="expression" dxfId="800" priority="810">
      <formula>#REF!="RO"</formula>
    </cfRule>
  </conditionalFormatting>
  <conditionalFormatting sqref="L143">
    <cfRule type="expression" dxfId="799" priority="807">
      <formula>#REF!="HO"</formula>
    </cfRule>
    <cfRule type="expression" dxfId="798" priority="808">
      <formula>#REF!="RO"</formula>
    </cfRule>
  </conditionalFormatting>
  <conditionalFormatting sqref="N150">
    <cfRule type="expression" dxfId="797" priority="805">
      <formula>I150="RO"</formula>
    </cfRule>
    <cfRule type="expression" dxfId="796" priority="806">
      <formula>I150="HO"</formula>
    </cfRule>
  </conditionalFormatting>
  <conditionalFormatting sqref="L205">
    <cfRule type="expression" dxfId="795" priority="803">
      <formula>#REF!="HO"</formula>
    </cfRule>
    <cfRule type="expression" dxfId="794" priority="804">
      <formula>#REF!="RO"</formula>
    </cfRule>
  </conditionalFormatting>
  <conditionalFormatting sqref="L207">
    <cfRule type="expression" dxfId="793" priority="801">
      <formula>#REF!="HO"</formula>
    </cfRule>
    <cfRule type="expression" dxfId="792" priority="802">
      <formula>#REF!="RO"</formula>
    </cfRule>
  </conditionalFormatting>
  <conditionalFormatting sqref="Q8:R530">
    <cfRule type="expression" dxfId="791" priority="799">
      <formula>#REF!="RO"</formula>
    </cfRule>
    <cfRule type="expression" dxfId="790" priority="800">
      <formula>#REF!="HO"</formula>
    </cfRule>
  </conditionalFormatting>
  <conditionalFormatting sqref="L148">
    <cfRule type="expression" dxfId="789" priority="797">
      <formula>#REF!="HO"</formula>
    </cfRule>
    <cfRule type="expression" dxfId="788" priority="798">
      <formula>#REF!="RO"</formula>
    </cfRule>
  </conditionalFormatting>
  <conditionalFormatting sqref="Q9:Q12">
    <cfRule type="expression" dxfId="787" priority="795">
      <formula>#REF!="RO"</formula>
    </cfRule>
    <cfRule type="expression" dxfId="786" priority="796">
      <formula>#REF!="HO"</formula>
    </cfRule>
  </conditionalFormatting>
  <conditionalFormatting sqref="R9:R12">
    <cfRule type="expression" dxfId="785" priority="793">
      <formula>#REF!="RO"</formula>
    </cfRule>
    <cfRule type="expression" dxfId="784" priority="794">
      <formula>#REF!="HO"</formula>
    </cfRule>
  </conditionalFormatting>
  <conditionalFormatting sqref="Q13">
    <cfRule type="expression" dxfId="783" priority="791">
      <formula>#REF!="RO"</formula>
    </cfRule>
    <cfRule type="expression" dxfId="782" priority="792">
      <formula>#REF!="HO"</formula>
    </cfRule>
  </conditionalFormatting>
  <conditionalFormatting sqref="R13">
    <cfRule type="expression" dxfId="781" priority="789">
      <formula>#REF!="RO"</formula>
    </cfRule>
    <cfRule type="expression" dxfId="780" priority="790">
      <formula>#REF!="HO"</formula>
    </cfRule>
  </conditionalFormatting>
  <conditionalFormatting sqref="I527">
    <cfRule type="cellIs" dxfId="779" priority="787" operator="equal">
      <formula>"RO"</formula>
    </cfRule>
    <cfRule type="cellIs" dxfId="778" priority="788" operator="equal">
      <formula>"HO"</formula>
    </cfRule>
  </conditionalFormatting>
  <conditionalFormatting sqref="N527">
    <cfRule type="expression" dxfId="777" priority="785">
      <formula>I527="RO"</formula>
    </cfRule>
    <cfRule type="expression" dxfId="776" priority="786">
      <formula>I527="HO"</formula>
    </cfRule>
  </conditionalFormatting>
  <conditionalFormatting sqref="J527">
    <cfRule type="expression" dxfId="775" priority="783">
      <formula>I527="HO"</formula>
    </cfRule>
    <cfRule type="expression" dxfId="774" priority="784">
      <formula>I527="RO"</formula>
    </cfRule>
  </conditionalFormatting>
  <conditionalFormatting sqref="I528">
    <cfRule type="cellIs" dxfId="773" priority="781" operator="equal">
      <formula>"RO"</formula>
    </cfRule>
    <cfRule type="cellIs" dxfId="772" priority="782" operator="equal">
      <formula>"HO"</formula>
    </cfRule>
  </conditionalFormatting>
  <conditionalFormatting sqref="N528">
    <cfRule type="expression" dxfId="771" priority="779">
      <formula>I528="RO"</formula>
    </cfRule>
    <cfRule type="expression" dxfId="770" priority="780">
      <formula>I528="HO"</formula>
    </cfRule>
  </conditionalFormatting>
  <conditionalFormatting sqref="J528">
    <cfRule type="expression" dxfId="769" priority="777">
      <formula>I528="HO"</formula>
    </cfRule>
    <cfRule type="expression" dxfId="768" priority="778">
      <formula>I528="RO"</formula>
    </cfRule>
  </conditionalFormatting>
  <conditionalFormatting sqref="N349">
    <cfRule type="expression" dxfId="767" priority="775">
      <formula>I349="RO"</formula>
    </cfRule>
    <cfRule type="expression" dxfId="766" priority="776">
      <formula>I349="HO"</formula>
    </cfRule>
  </conditionalFormatting>
  <conditionalFormatting sqref="N351">
    <cfRule type="expression" dxfId="765" priority="773">
      <formula>I351="RO"</formula>
    </cfRule>
    <cfRule type="expression" dxfId="764" priority="774">
      <formula>I351="HO"</formula>
    </cfRule>
  </conditionalFormatting>
  <conditionalFormatting sqref="N40">
    <cfRule type="expression" dxfId="763" priority="763">
      <formula>I40="RO"</formula>
    </cfRule>
    <cfRule type="expression" dxfId="762" priority="764">
      <formula>I40="HO"</formula>
    </cfRule>
  </conditionalFormatting>
  <conditionalFormatting sqref="N353">
    <cfRule type="expression" dxfId="761" priority="771">
      <formula>I353="RO"</formula>
    </cfRule>
    <cfRule type="expression" dxfId="760" priority="772">
      <formula>I353="HO"</formula>
    </cfRule>
  </conditionalFormatting>
  <conditionalFormatting sqref="N31">
    <cfRule type="expression" dxfId="759" priority="769">
      <formula>I31="RO"</formula>
    </cfRule>
    <cfRule type="expression" dxfId="758" priority="770">
      <formula>I31="HO"</formula>
    </cfRule>
  </conditionalFormatting>
  <conditionalFormatting sqref="N35">
    <cfRule type="expression" dxfId="757" priority="767">
      <formula>I35="RO"</formula>
    </cfRule>
    <cfRule type="expression" dxfId="756" priority="768">
      <formula>I35="HO"</formula>
    </cfRule>
  </conditionalFormatting>
  <conditionalFormatting sqref="N39">
    <cfRule type="expression" dxfId="755" priority="765">
      <formula>I39="RO"</formula>
    </cfRule>
    <cfRule type="expression" dxfId="754" priority="766">
      <formula>I39="HO"</formula>
    </cfRule>
  </conditionalFormatting>
  <conditionalFormatting sqref="J253">
    <cfRule type="expression" dxfId="753" priority="761">
      <formula>I253="HO"</formula>
    </cfRule>
    <cfRule type="expression" dxfId="752" priority="762">
      <formula>I253="RO"</formula>
    </cfRule>
  </conditionalFormatting>
  <conditionalFormatting sqref="J254">
    <cfRule type="expression" dxfId="751" priority="759">
      <formula>I254="HO"</formula>
    </cfRule>
    <cfRule type="expression" dxfId="750" priority="760">
      <formula>I254="RO"</formula>
    </cfRule>
  </conditionalFormatting>
  <conditionalFormatting sqref="J255">
    <cfRule type="expression" dxfId="749" priority="757">
      <formula>I255="HO"</formula>
    </cfRule>
    <cfRule type="expression" dxfId="748" priority="758">
      <formula>I255="RO"</formula>
    </cfRule>
  </conditionalFormatting>
  <conditionalFormatting sqref="J271">
    <cfRule type="expression" dxfId="747" priority="755">
      <formula>I271="HO"</formula>
    </cfRule>
    <cfRule type="expression" dxfId="746" priority="756">
      <formula>I271="RO"</formula>
    </cfRule>
  </conditionalFormatting>
  <conditionalFormatting sqref="J491">
    <cfRule type="expression" dxfId="745" priority="753">
      <formula>I491="HO"</formula>
    </cfRule>
    <cfRule type="expression" dxfId="744" priority="754">
      <formula>I491="RO"</formula>
    </cfRule>
  </conditionalFormatting>
  <conditionalFormatting sqref="J492">
    <cfRule type="expression" dxfId="743" priority="751">
      <formula>I492="HO"</formula>
    </cfRule>
    <cfRule type="expression" dxfId="742" priority="752">
      <formula>I492="RO"</formula>
    </cfRule>
  </conditionalFormatting>
  <conditionalFormatting sqref="J493">
    <cfRule type="expression" dxfId="741" priority="749">
      <formula>I493="HO"</formula>
    </cfRule>
    <cfRule type="expression" dxfId="740" priority="750">
      <formula>I493="RO"</formula>
    </cfRule>
  </conditionalFormatting>
  <conditionalFormatting sqref="J494">
    <cfRule type="expression" dxfId="739" priority="747">
      <formula>I494="HO"</formula>
    </cfRule>
    <cfRule type="expression" dxfId="738" priority="748">
      <formula>I494="RO"</formula>
    </cfRule>
  </conditionalFormatting>
  <conditionalFormatting sqref="J495">
    <cfRule type="expression" dxfId="737" priority="745">
      <formula>I495="HO"</formula>
    </cfRule>
    <cfRule type="expression" dxfId="736" priority="746">
      <formula>I495="RO"</formula>
    </cfRule>
  </conditionalFormatting>
  <conditionalFormatting sqref="J496">
    <cfRule type="expression" dxfId="735" priority="743">
      <formula>I496="HO"</formula>
    </cfRule>
    <cfRule type="expression" dxfId="734" priority="744">
      <formula>I496="RO"</formula>
    </cfRule>
  </conditionalFormatting>
  <conditionalFormatting sqref="J497">
    <cfRule type="expression" dxfId="733" priority="741">
      <formula>I497="HO"</formula>
    </cfRule>
    <cfRule type="expression" dxfId="732" priority="742">
      <formula>I497="RO"</formula>
    </cfRule>
  </conditionalFormatting>
  <conditionalFormatting sqref="J498">
    <cfRule type="expression" dxfId="731" priority="739">
      <formula>I498="HO"</formula>
    </cfRule>
    <cfRule type="expression" dxfId="730" priority="740">
      <formula>I498="RO"</formula>
    </cfRule>
  </conditionalFormatting>
  <conditionalFormatting sqref="J499">
    <cfRule type="expression" dxfId="729" priority="737">
      <formula>I499="HO"</formula>
    </cfRule>
    <cfRule type="expression" dxfId="728" priority="738">
      <formula>I499="RO"</formula>
    </cfRule>
  </conditionalFormatting>
  <conditionalFormatting sqref="J500">
    <cfRule type="expression" dxfId="727" priority="735">
      <formula>I500="HO"</formula>
    </cfRule>
    <cfRule type="expression" dxfId="726" priority="736">
      <formula>I500="RO"</formula>
    </cfRule>
  </conditionalFormatting>
  <conditionalFormatting sqref="J501">
    <cfRule type="expression" dxfId="725" priority="733">
      <formula>I501="HO"</formula>
    </cfRule>
    <cfRule type="expression" dxfId="724" priority="734">
      <formula>I501="RO"</formula>
    </cfRule>
  </conditionalFormatting>
  <conditionalFormatting sqref="J502">
    <cfRule type="expression" dxfId="723" priority="731">
      <formula>I502="HO"</formula>
    </cfRule>
    <cfRule type="expression" dxfId="722" priority="732">
      <formula>I502="RO"</formula>
    </cfRule>
  </conditionalFormatting>
  <conditionalFormatting sqref="J503">
    <cfRule type="expression" dxfId="721" priority="729">
      <formula>I503="HO"</formula>
    </cfRule>
    <cfRule type="expression" dxfId="720" priority="730">
      <formula>I503="RO"</formula>
    </cfRule>
  </conditionalFormatting>
  <conditionalFormatting sqref="J504">
    <cfRule type="expression" dxfId="719" priority="727">
      <formula>I504="HO"</formula>
    </cfRule>
    <cfRule type="expression" dxfId="718" priority="728">
      <formula>I504="RO"</formula>
    </cfRule>
  </conditionalFormatting>
  <conditionalFormatting sqref="J505">
    <cfRule type="expression" dxfId="717" priority="725">
      <formula>I505="HO"</formula>
    </cfRule>
    <cfRule type="expression" dxfId="716" priority="726">
      <formula>I505="RO"</formula>
    </cfRule>
  </conditionalFormatting>
  <conditionalFormatting sqref="J506">
    <cfRule type="expression" dxfId="715" priority="723">
      <formula>I506="HO"</formula>
    </cfRule>
    <cfRule type="expression" dxfId="714" priority="724">
      <formula>I506="RO"</formula>
    </cfRule>
  </conditionalFormatting>
  <conditionalFormatting sqref="J507">
    <cfRule type="expression" dxfId="713" priority="721">
      <formula>I507="HO"</formula>
    </cfRule>
    <cfRule type="expression" dxfId="712" priority="722">
      <formula>I507="RO"</formula>
    </cfRule>
  </conditionalFormatting>
  <conditionalFormatting sqref="J508">
    <cfRule type="expression" dxfId="711" priority="719">
      <formula>I508="HO"</formula>
    </cfRule>
    <cfRule type="expression" dxfId="710" priority="720">
      <formula>I508="RO"</formula>
    </cfRule>
  </conditionalFormatting>
  <conditionalFormatting sqref="J516">
    <cfRule type="expression" dxfId="709" priority="717">
      <formula>I516="HO"</formula>
    </cfRule>
    <cfRule type="expression" dxfId="708" priority="718">
      <formula>I516="RO"</formula>
    </cfRule>
  </conditionalFormatting>
  <conditionalFormatting sqref="J517">
    <cfRule type="expression" dxfId="707" priority="715">
      <formula>I517="HO"</formula>
    </cfRule>
    <cfRule type="expression" dxfId="706" priority="716">
      <formula>I517="RO"</formula>
    </cfRule>
  </conditionalFormatting>
  <conditionalFormatting sqref="J518">
    <cfRule type="expression" dxfId="705" priority="713">
      <formula>I518="HO"</formula>
    </cfRule>
    <cfRule type="expression" dxfId="704" priority="714">
      <formula>I518="RO"</formula>
    </cfRule>
  </conditionalFormatting>
  <conditionalFormatting sqref="J519">
    <cfRule type="expression" dxfId="703" priority="711">
      <formula>I519="HO"</formula>
    </cfRule>
    <cfRule type="expression" dxfId="702" priority="712">
      <formula>I519="RO"</formula>
    </cfRule>
  </conditionalFormatting>
  <conditionalFormatting sqref="J520">
    <cfRule type="expression" dxfId="701" priority="709">
      <formula>I520="HO"</formula>
    </cfRule>
    <cfRule type="expression" dxfId="700" priority="710">
      <formula>I520="RO"</formula>
    </cfRule>
  </conditionalFormatting>
  <conditionalFormatting sqref="N42">
    <cfRule type="expression" dxfId="699" priority="707">
      <formula>I42="RO"</formula>
    </cfRule>
    <cfRule type="expression" dxfId="698" priority="708">
      <formula>I42="HO"</formula>
    </cfRule>
  </conditionalFormatting>
  <conditionalFormatting sqref="N123">
    <cfRule type="expression" dxfId="697" priority="617">
      <formula>I123="RO"</formula>
    </cfRule>
    <cfRule type="expression" dxfId="696" priority="618">
      <formula>I123="HO"</formula>
    </cfRule>
  </conditionalFormatting>
  <conditionalFormatting sqref="N46">
    <cfRule type="expression" dxfId="695" priority="705">
      <formula>I46="RO"</formula>
    </cfRule>
    <cfRule type="expression" dxfId="694" priority="706">
      <formula>I46="HO"</formula>
    </cfRule>
  </conditionalFormatting>
  <conditionalFormatting sqref="N64">
    <cfRule type="expression" dxfId="693" priority="703">
      <formula>I64="RO"</formula>
    </cfRule>
    <cfRule type="expression" dxfId="692" priority="704">
      <formula>I64="HO"</formula>
    </cfRule>
  </conditionalFormatting>
  <conditionalFormatting sqref="N186">
    <cfRule type="expression" dxfId="691" priority="701">
      <formula>I186="RO"</formula>
    </cfRule>
    <cfRule type="expression" dxfId="690" priority="702">
      <formula>I186="HO"</formula>
    </cfRule>
  </conditionalFormatting>
  <conditionalFormatting sqref="N248">
    <cfRule type="expression" dxfId="689" priority="699">
      <formula>I248="RO"</formula>
    </cfRule>
    <cfRule type="expression" dxfId="688" priority="700">
      <formula>I248="HO"</formula>
    </cfRule>
  </conditionalFormatting>
  <conditionalFormatting sqref="N249">
    <cfRule type="expression" dxfId="687" priority="697">
      <formula>I249="RO"</formula>
    </cfRule>
    <cfRule type="expression" dxfId="686" priority="698">
      <formula>I249="HO"</formula>
    </cfRule>
  </conditionalFormatting>
  <conditionalFormatting sqref="N250:N252">
    <cfRule type="expression" dxfId="685" priority="695">
      <formula>I250="RO"</formula>
    </cfRule>
    <cfRule type="expression" dxfId="684" priority="696">
      <formula>I250="HO"</formula>
    </cfRule>
  </conditionalFormatting>
  <conditionalFormatting sqref="N253">
    <cfRule type="expression" dxfId="683" priority="693">
      <formula>I253="RO"</formula>
    </cfRule>
    <cfRule type="expression" dxfId="682" priority="694">
      <formula>I253="HO"</formula>
    </cfRule>
  </conditionalFormatting>
  <conditionalFormatting sqref="N254">
    <cfRule type="expression" dxfId="681" priority="691">
      <formula>I254="RO"</formula>
    </cfRule>
    <cfRule type="expression" dxfId="680" priority="692">
      <formula>I254="HO"</formula>
    </cfRule>
  </conditionalFormatting>
  <conditionalFormatting sqref="N255">
    <cfRule type="expression" dxfId="679" priority="689">
      <formula>I255="RO"</formula>
    </cfRule>
    <cfRule type="expression" dxfId="678" priority="690">
      <formula>I255="HO"</formula>
    </cfRule>
  </conditionalFormatting>
  <conditionalFormatting sqref="N256">
    <cfRule type="expression" dxfId="677" priority="687">
      <formula>I256="RO"</formula>
    </cfRule>
    <cfRule type="expression" dxfId="676" priority="688">
      <formula>I256="HO"</formula>
    </cfRule>
  </conditionalFormatting>
  <conditionalFormatting sqref="N257">
    <cfRule type="expression" dxfId="675" priority="685">
      <formula>I257="RO"</formula>
    </cfRule>
    <cfRule type="expression" dxfId="674" priority="686">
      <formula>I257="HO"</formula>
    </cfRule>
  </conditionalFormatting>
  <conditionalFormatting sqref="N259">
    <cfRule type="expression" dxfId="673" priority="683">
      <formula>I259="RO"</formula>
    </cfRule>
    <cfRule type="expression" dxfId="672" priority="684">
      <formula>I259="HO"</formula>
    </cfRule>
  </conditionalFormatting>
  <conditionalFormatting sqref="N260">
    <cfRule type="expression" dxfId="671" priority="681">
      <formula>I260="RO"</formula>
    </cfRule>
    <cfRule type="expression" dxfId="670" priority="682">
      <formula>I260="HO"</formula>
    </cfRule>
  </conditionalFormatting>
  <conditionalFormatting sqref="N261">
    <cfRule type="expression" dxfId="669" priority="679">
      <formula>I261="RO"</formula>
    </cfRule>
    <cfRule type="expression" dxfId="668" priority="680">
      <formula>I261="HO"</formula>
    </cfRule>
  </conditionalFormatting>
  <conditionalFormatting sqref="N271">
    <cfRule type="expression" dxfId="667" priority="677">
      <formula>I271="RO"</formula>
    </cfRule>
    <cfRule type="expression" dxfId="666" priority="678">
      <formula>I271="HO"</formula>
    </cfRule>
  </conditionalFormatting>
  <conditionalFormatting sqref="N491">
    <cfRule type="expression" dxfId="665" priority="675">
      <formula>I491="RO"</formula>
    </cfRule>
    <cfRule type="expression" dxfId="664" priority="676">
      <formula>I491="HO"</formula>
    </cfRule>
  </conditionalFormatting>
  <conditionalFormatting sqref="N492">
    <cfRule type="expression" dxfId="663" priority="673">
      <formula>I492="RO"</formula>
    </cfRule>
    <cfRule type="expression" dxfId="662" priority="674">
      <formula>I492="HO"</formula>
    </cfRule>
  </conditionalFormatting>
  <conditionalFormatting sqref="N493">
    <cfRule type="expression" dxfId="661" priority="671">
      <formula>I493="RO"</formula>
    </cfRule>
    <cfRule type="expression" dxfId="660" priority="672">
      <formula>I493="HO"</formula>
    </cfRule>
  </conditionalFormatting>
  <conditionalFormatting sqref="N494">
    <cfRule type="expression" dxfId="659" priority="669">
      <formula>I494="RO"</formula>
    </cfRule>
    <cfRule type="expression" dxfId="658" priority="670">
      <formula>I494="HO"</formula>
    </cfRule>
  </conditionalFormatting>
  <conditionalFormatting sqref="N495">
    <cfRule type="expression" dxfId="657" priority="667">
      <formula>I495="RO"</formula>
    </cfRule>
    <cfRule type="expression" dxfId="656" priority="668">
      <formula>I495="HO"</formula>
    </cfRule>
  </conditionalFormatting>
  <conditionalFormatting sqref="N496">
    <cfRule type="expression" dxfId="655" priority="665">
      <formula>I496="RO"</formula>
    </cfRule>
    <cfRule type="expression" dxfId="654" priority="666">
      <formula>I496="HO"</formula>
    </cfRule>
  </conditionalFormatting>
  <conditionalFormatting sqref="N497">
    <cfRule type="expression" dxfId="653" priority="663">
      <formula>I497="RO"</formula>
    </cfRule>
    <cfRule type="expression" dxfId="652" priority="664">
      <formula>I497="HO"</formula>
    </cfRule>
  </conditionalFormatting>
  <conditionalFormatting sqref="N498">
    <cfRule type="expression" dxfId="651" priority="661">
      <formula>I498="RO"</formula>
    </cfRule>
    <cfRule type="expression" dxfId="650" priority="662">
      <formula>I498="HO"</formula>
    </cfRule>
  </conditionalFormatting>
  <conditionalFormatting sqref="N499">
    <cfRule type="expression" dxfId="649" priority="659">
      <formula>I499="RO"</formula>
    </cfRule>
    <cfRule type="expression" dxfId="648" priority="660">
      <formula>I499="HO"</formula>
    </cfRule>
  </conditionalFormatting>
  <conditionalFormatting sqref="N500">
    <cfRule type="expression" dxfId="647" priority="657">
      <formula>I500="RO"</formula>
    </cfRule>
    <cfRule type="expression" dxfId="646" priority="658">
      <formula>I500="HO"</formula>
    </cfRule>
  </conditionalFormatting>
  <conditionalFormatting sqref="N501">
    <cfRule type="expression" dxfId="645" priority="655">
      <formula>I501="RO"</formula>
    </cfRule>
    <cfRule type="expression" dxfId="644" priority="656">
      <formula>I501="HO"</formula>
    </cfRule>
  </conditionalFormatting>
  <conditionalFormatting sqref="N502">
    <cfRule type="expression" dxfId="643" priority="653">
      <formula>I502="RO"</formula>
    </cfRule>
    <cfRule type="expression" dxfId="642" priority="654">
      <formula>I502="HO"</formula>
    </cfRule>
  </conditionalFormatting>
  <conditionalFormatting sqref="N503">
    <cfRule type="expression" dxfId="641" priority="651">
      <formula>I503="RO"</formula>
    </cfRule>
    <cfRule type="expression" dxfId="640" priority="652">
      <formula>I503="HO"</formula>
    </cfRule>
  </conditionalFormatting>
  <conditionalFormatting sqref="N504">
    <cfRule type="expression" dxfId="639" priority="649">
      <formula>I504="RO"</formula>
    </cfRule>
    <cfRule type="expression" dxfId="638" priority="650">
      <formula>I504="HO"</formula>
    </cfRule>
  </conditionalFormatting>
  <conditionalFormatting sqref="N505">
    <cfRule type="expression" dxfId="637" priority="647">
      <formula>I505="RO"</formula>
    </cfRule>
    <cfRule type="expression" dxfId="636" priority="648">
      <formula>I505="HO"</formula>
    </cfRule>
  </conditionalFormatting>
  <conditionalFormatting sqref="N506">
    <cfRule type="expression" dxfId="635" priority="645">
      <formula>I506="RO"</formula>
    </cfRule>
    <cfRule type="expression" dxfId="634" priority="646">
      <formula>I506="HO"</formula>
    </cfRule>
  </conditionalFormatting>
  <conditionalFormatting sqref="N507">
    <cfRule type="expression" dxfId="633" priority="643">
      <formula>I507="RO"</formula>
    </cfRule>
    <cfRule type="expression" dxfId="632" priority="644">
      <formula>I507="HO"</formula>
    </cfRule>
  </conditionalFormatting>
  <conditionalFormatting sqref="N508">
    <cfRule type="expression" dxfId="631" priority="641">
      <formula>I508="RO"</formula>
    </cfRule>
    <cfRule type="expression" dxfId="630" priority="642">
      <formula>I508="HO"</formula>
    </cfRule>
  </conditionalFormatting>
  <conditionalFormatting sqref="N516">
    <cfRule type="expression" dxfId="629" priority="639">
      <formula>I516="RO"</formula>
    </cfRule>
    <cfRule type="expression" dxfId="628" priority="640">
      <formula>I516="HO"</formula>
    </cfRule>
  </conditionalFormatting>
  <conditionalFormatting sqref="N517">
    <cfRule type="expression" dxfId="627" priority="637">
      <formula>I517="RO"</formula>
    </cfRule>
    <cfRule type="expression" dxfId="626" priority="638">
      <formula>I517="HO"</formula>
    </cfRule>
  </conditionalFormatting>
  <conditionalFormatting sqref="N518">
    <cfRule type="expression" dxfId="625" priority="635">
      <formula>I518="RO"</formula>
    </cfRule>
    <cfRule type="expression" dxfId="624" priority="636">
      <formula>I518="HO"</formula>
    </cfRule>
  </conditionalFormatting>
  <conditionalFormatting sqref="N519">
    <cfRule type="expression" dxfId="623" priority="633">
      <formula>I519="RO"</formula>
    </cfRule>
    <cfRule type="expression" dxfId="622" priority="634">
      <formula>I519="HO"</formula>
    </cfRule>
  </conditionalFormatting>
  <conditionalFormatting sqref="N363">
    <cfRule type="expression" dxfId="621" priority="591">
      <formula>I363="RO"</formula>
    </cfRule>
    <cfRule type="expression" dxfId="620" priority="592">
      <formula>I363="HO"</formula>
    </cfRule>
  </conditionalFormatting>
  <conditionalFormatting sqref="N355">
    <cfRule type="expression" dxfId="619" priority="603">
      <formula>I355="RO"</formula>
    </cfRule>
    <cfRule type="expression" dxfId="618" priority="604">
      <formula>I355="HO"</formula>
    </cfRule>
  </conditionalFormatting>
  <conditionalFormatting sqref="N143">
    <cfRule type="expression" dxfId="617" priority="631">
      <formula>I143="RO"</formula>
    </cfRule>
    <cfRule type="expression" dxfId="616" priority="632">
      <formula>I143="HO"</formula>
    </cfRule>
  </conditionalFormatting>
  <conditionalFormatting sqref="N144">
    <cfRule type="expression" dxfId="615" priority="629">
      <formula>I144="RO"</formula>
    </cfRule>
    <cfRule type="expression" dxfId="614" priority="630">
      <formula>I144="HO"</formula>
    </cfRule>
  </conditionalFormatting>
  <conditionalFormatting sqref="N146">
    <cfRule type="expression" dxfId="613" priority="627">
      <formula>I146="RO"</formula>
    </cfRule>
    <cfRule type="expression" dxfId="612" priority="628">
      <formula>I146="HO"</formula>
    </cfRule>
  </conditionalFormatting>
  <conditionalFormatting sqref="N147">
    <cfRule type="expression" dxfId="611" priority="625">
      <formula>I147="RO"</formula>
    </cfRule>
    <cfRule type="expression" dxfId="610" priority="626">
      <formula>I147="HO"</formula>
    </cfRule>
  </conditionalFormatting>
  <conditionalFormatting sqref="N163">
    <cfRule type="expression" dxfId="609" priority="623">
      <formula>I163="RO"</formula>
    </cfRule>
    <cfRule type="expression" dxfId="608" priority="624">
      <formula>I163="HO"</formula>
    </cfRule>
  </conditionalFormatting>
  <conditionalFormatting sqref="N193">
    <cfRule type="expression" dxfId="607" priority="621">
      <formula>I193="RO"</formula>
    </cfRule>
    <cfRule type="expression" dxfId="606" priority="622">
      <formula>I193="HO"</formula>
    </cfRule>
  </conditionalFormatting>
  <conditionalFormatting sqref="N204">
    <cfRule type="expression" dxfId="605" priority="619">
      <formula>I204="RO"</formula>
    </cfRule>
    <cfRule type="expression" dxfId="604" priority="620">
      <formula>I204="HO"</formula>
    </cfRule>
  </conditionalFormatting>
  <conditionalFormatting sqref="N406">
    <cfRule type="expression" dxfId="603" priority="579">
      <formula>I406="RO"</formula>
    </cfRule>
    <cfRule type="expression" dxfId="602" priority="580">
      <formula>I406="HO"</formula>
    </cfRule>
  </conditionalFormatting>
  <conditionalFormatting sqref="N124">
    <cfRule type="expression" dxfId="601" priority="615">
      <formula>I124="RO"</formula>
    </cfRule>
    <cfRule type="expression" dxfId="600" priority="616">
      <formula>I124="HO"</formula>
    </cfRule>
  </conditionalFormatting>
  <conditionalFormatting sqref="N481">
    <cfRule type="expression" dxfId="599" priority="613">
      <formula>I481="RO"</formula>
    </cfRule>
    <cfRule type="expression" dxfId="598" priority="614">
      <formula>I481="HO"</formula>
    </cfRule>
  </conditionalFormatting>
  <conditionalFormatting sqref="N348">
    <cfRule type="expression" dxfId="597" priority="611">
      <formula>I348="RO"</formula>
    </cfRule>
    <cfRule type="expression" dxfId="596" priority="612">
      <formula>I348="HO"</formula>
    </cfRule>
  </conditionalFormatting>
  <conditionalFormatting sqref="N350">
    <cfRule type="expression" dxfId="595" priority="609">
      <formula>I350="RO"</formula>
    </cfRule>
    <cfRule type="expression" dxfId="594" priority="610">
      <formula>I350="HO"</formula>
    </cfRule>
  </conditionalFormatting>
  <conditionalFormatting sqref="N352">
    <cfRule type="expression" dxfId="593" priority="607">
      <formula>I352="RO"</formula>
    </cfRule>
    <cfRule type="expression" dxfId="592" priority="608">
      <formula>I352="HO"</formula>
    </cfRule>
  </conditionalFormatting>
  <conditionalFormatting sqref="N354">
    <cfRule type="expression" dxfId="591" priority="605">
      <formula>I354="RO"</formula>
    </cfRule>
    <cfRule type="expression" dxfId="590" priority="606">
      <formula>I354="HO"</formula>
    </cfRule>
  </conditionalFormatting>
  <conditionalFormatting sqref="N356">
    <cfRule type="expression" dxfId="589" priority="601">
      <formula>I356="RO"</formula>
    </cfRule>
    <cfRule type="expression" dxfId="588" priority="602">
      <formula>I356="HO"</formula>
    </cfRule>
  </conditionalFormatting>
  <conditionalFormatting sqref="N357">
    <cfRule type="expression" dxfId="587" priority="599">
      <formula>I357="RO"</formula>
    </cfRule>
    <cfRule type="expression" dxfId="586" priority="600">
      <formula>I357="HO"</formula>
    </cfRule>
  </conditionalFormatting>
  <conditionalFormatting sqref="N358">
    <cfRule type="expression" dxfId="585" priority="597">
      <formula>I358="RO"</formula>
    </cfRule>
    <cfRule type="expression" dxfId="584" priority="598">
      <formula>I358="HO"</formula>
    </cfRule>
  </conditionalFormatting>
  <conditionalFormatting sqref="N359">
    <cfRule type="expression" dxfId="583" priority="595">
      <formula>I359="RO"</formula>
    </cfRule>
    <cfRule type="expression" dxfId="582" priority="596">
      <formula>I359="HO"</formula>
    </cfRule>
  </conditionalFormatting>
  <conditionalFormatting sqref="N361">
    <cfRule type="expression" dxfId="581" priority="593">
      <formula>I361="RO"</formula>
    </cfRule>
    <cfRule type="expression" dxfId="580" priority="594">
      <formula>I361="HO"</formula>
    </cfRule>
  </conditionalFormatting>
  <conditionalFormatting sqref="N366">
    <cfRule type="expression" dxfId="579" priority="589">
      <formula>I366="RO"</formula>
    </cfRule>
    <cfRule type="expression" dxfId="578" priority="590">
      <formula>I366="HO"</formula>
    </cfRule>
  </conditionalFormatting>
  <conditionalFormatting sqref="N367">
    <cfRule type="expression" dxfId="577" priority="587">
      <formula>I367="RO"</formula>
    </cfRule>
    <cfRule type="expression" dxfId="576" priority="588">
      <formula>I367="HO"</formula>
    </cfRule>
  </conditionalFormatting>
  <conditionalFormatting sqref="N393">
    <cfRule type="expression" dxfId="575" priority="585">
      <formula>I393="RO"</formula>
    </cfRule>
    <cfRule type="expression" dxfId="574" priority="586">
      <formula>I393="HO"</formula>
    </cfRule>
  </conditionalFormatting>
  <conditionalFormatting sqref="N404">
    <cfRule type="expression" dxfId="573" priority="583">
      <formula>I404="RO"</formula>
    </cfRule>
    <cfRule type="expression" dxfId="572" priority="584">
      <formula>I404="HO"</formula>
    </cfRule>
  </conditionalFormatting>
  <conditionalFormatting sqref="N405">
    <cfRule type="expression" dxfId="571" priority="581">
      <formula>I405="RO"</formula>
    </cfRule>
    <cfRule type="expression" dxfId="570" priority="582">
      <formula>I405="HO"</formula>
    </cfRule>
  </conditionalFormatting>
  <conditionalFormatting sqref="L465">
    <cfRule type="expression" dxfId="569" priority="349">
      <formula>#REF!="HO"</formula>
    </cfRule>
    <cfRule type="expression" dxfId="568" priority="350">
      <formula>#REF!="RO"</formula>
    </cfRule>
  </conditionalFormatting>
  <conditionalFormatting sqref="L291">
    <cfRule type="expression" dxfId="567" priority="577">
      <formula>#REF!="HO"</formula>
    </cfRule>
    <cfRule type="expression" dxfId="566" priority="578">
      <formula>#REF!="RO"</formula>
    </cfRule>
  </conditionalFormatting>
  <conditionalFormatting sqref="L291">
    <cfRule type="expression" dxfId="565" priority="575">
      <formula>#REF!="HO"</formula>
    </cfRule>
    <cfRule type="expression" dxfId="564" priority="576">
      <formula>#REF!="RO"</formula>
    </cfRule>
  </conditionalFormatting>
  <conditionalFormatting sqref="L295">
    <cfRule type="expression" dxfId="563" priority="573">
      <formula>#REF!="HO"</formula>
    </cfRule>
    <cfRule type="expression" dxfId="562" priority="574">
      <formula>#REF!="RO"</formula>
    </cfRule>
  </conditionalFormatting>
  <conditionalFormatting sqref="L297">
    <cfRule type="expression" dxfId="561" priority="571">
      <formula>#REF!="HO"</formula>
    </cfRule>
    <cfRule type="expression" dxfId="560" priority="572">
      <formula>#REF!="RO"</formula>
    </cfRule>
  </conditionalFormatting>
  <conditionalFormatting sqref="L299">
    <cfRule type="expression" dxfId="559" priority="569">
      <formula>#REF!="HO"</formula>
    </cfRule>
    <cfRule type="expression" dxfId="558" priority="570">
      <formula>#REF!="RO"</formula>
    </cfRule>
  </conditionalFormatting>
  <conditionalFormatting sqref="L303">
    <cfRule type="expression" dxfId="557" priority="567">
      <formula>#REF!="HO"</formula>
    </cfRule>
    <cfRule type="expression" dxfId="556" priority="568">
      <formula>#REF!="RO"</formula>
    </cfRule>
  </conditionalFormatting>
  <conditionalFormatting sqref="L305">
    <cfRule type="expression" dxfId="555" priority="565">
      <formula>#REF!="HO"</formula>
    </cfRule>
    <cfRule type="expression" dxfId="554" priority="566">
      <formula>#REF!="RO"</formula>
    </cfRule>
  </conditionalFormatting>
  <conditionalFormatting sqref="L345">
    <cfRule type="expression" dxfId="553" priority="563">
      <formula>#REF!="HO"</formula>
    </cfRule>
    <cfRule type="expression" dxfId="552" priority="564">
      <formula>#REF!="RO"</formula>
    </cfRule>
  </conditionalFormatting>
  <conditionalFormatting sqref="L347">
    <cfRule type="expression" dxfId="551" priority="561">
      <formula>#REF!="HO"</formula>
    </cfRule>
    <cfRule type="expression" dxfId="550" priority="562">
      <formula>#REF!="RO"</formula>
    </cfRule>
  </conditionalFormatting>
  <conditionalFormatting sqref="L349">
    <cfRule type="expression" dxfId="549" priority="559">
      <formula>#REF!="HO"</formula>
    </cfRule>
    <cfRule type="expression" dxfId="548" priority="560">
      <formula>#REF!="RO"</formula>
    </cfRule>
  </conditionalFormatting>
  <conditionalFormatting sqref="L351">
    <cfRule type="expression" dxfId="547" priority="557">
      <formula>#REF!="HO"</formula>
    </cfRule>
    <cfRule type="expression" dxfId="546" priority="558">
      <formula>#REF!="RO"</formula>
    </cfRule>
  </conditionalFormatting>
  <conditionalFormatting sqref="L353">
    <cfRule type="expression" dxfId="545" priority="555">
      <formula>#REF!="HO"</formula>
    </cfRule>
    <cfRule type="expression" dxfId="544" priority="556">
      <formula>#REF!="RO"</formula>
    </cfRule>
  </conditionalFormatting>
  <conditionalFormatting sqref="L365">
    <cfRule type="expression" dxfId="543" priority="553">
      <formula>#REF!="HO"</formula>
    </cfRule>
    <cfRule type="expression" dxfId="542" priority="554">
      <formula>#REF!="RO"</formula>
    </cfRule>
  </conditionalFormatting>
  <conditionalFormatting sqref="L369">
    <cfRule type="expression" dxfId="541" priority="551">
      <formula>#REF!="HO"</formula>
    </cfRule>
    <cfRule type="expression" dxfId="540" priority="552">
      <formula>#REF!="RO"</formula>
    </cfRule>
  </conditionalFormatting>
  <conditionalFormatting sqref="L371">
    <cfRule type="expression" dxfId="539" priority="549">
      <formula>#REF!="HO"</formula>
    </cfRule>
    <cfRule type="expression" dxfId="538" priority="550">
      <formula>#REF!="RO"</formula>
    </cfRule>
  </conditionalFormatting>
  <conditionalFormatting sqref="L373">
    <cfRule type="expression" dxfId="537" priority="547">
      <formula>#REF!="HO"</formula>
    </cfRule>
    <cfRule type="expression" dxfId="536" priority="548">
      <formula>#REF!="RO"</formula>
    </cfRule>
  </conditionalFormatting>
  <conditionalFormatting sqref="L377">
    <cfRule type="expression" dxfId="535" priority="545">
      <formula>#REF!="HO"</formula>
    </cfRule>
    <cfRule type="expression" dxfId="534" priority="546">
      <formula>#REF!="RO"</formula>
    </cfRule>
  </conditionalFormatting>
  <conditionalFormatting sqref="L389">
    <cfRule type="expression" dxfId="533" priority="543">
      <formula>#REF!="HO"</formula>
    </cfRule>
    <cfRule type="expression" dxfId="532" priority="544">
      <formula>#REF!="RO"</formula>
    </cfRule>
  </conditionalFormatting>
  <conditionalFormatting sqref="L391">
    <cfRule type="expression" dxfId="531" priority="541">
      <formula>#REF!="HO"</formula>
    </cfRule>
    <cfRule type="expression" dxfId="530" priority="542">
      <formula>#REF!="RO"</formula>
    </cfRule>
  </conditionalFormatting>
  <conditionalFormatting sqref="L395">
    <cfRule type="expression" dxfId="529" priority="539">
      <formula>#REF!="HO"</formula>
    </cfRule>
    <cfRule type="expression" dxfId="528" priority="540">
      <formula>#REF!="RO"</formula>
    </cfRule>
  </conditionalFormatting>
  <conditionalFormatting sqref="L397">
    <cfRule type="expression" dxfId="527" priority="537">
      <formula>#REF!="HO"</formula>
    </cfRule>
    <cfRule type="expression" dxfId="526" priority="538">
      <formula>#REF!="RO"</formula>
    </cfRule>
  </conditionalFormatting>
  <conditionalFormatting sqref="L399">
    <cfRule type="expression" dxfId="525" priority="535">
      <formula>#REF!="HO"</formula>
    </cfRule>
    <cfRule type="expression" dxfId="524" priority="536">
      <formula>#REF!="RO"</formula>
    </cfRule>
  </conditionalFormatting>
  <conditionalFormatting sqref="L401">
    <cfRule type="expression" dxfId="523" priority="533">
      <formula>#REF!="HO"</formula>
    </cfRule>
    <cfRule type="expression" dxfId="522" priority="534">
      <formula>#REF!="RO"</formula>
    </cfRule>
  </conditionalFormatting>
  <conditionalFormatting sqref="L403">
    <cfRule type="expression" dxfId="521" priority="531">
      <formula>#REF!="HO"</formula>
    </cfRule>
    <cfRule type="expression" dxfId="520" priority="532">
      <formula>#REF!="RO"</formula>
    </cfRule>
  </conditionalFormatting>
  <conditionalFormatting sqref="L407">
    <cfRule type="expression" dxfId="519" priority="529">
      <formula>#REF!="HO"</formula>
    </cfRule>
    <cfRule type="expression" dxfId="518" priority="530">
      <formula>#REF!="RO"</formula>
    </cfRule>
  </conditionalFormatting>
  <conditionalFormatting sqref="L409">
    <cfRule type="expression" dxfId="517" priority="527">
      <formula>#REF!="HO"</formula>
    </cfRule>
    <cfRule type="expression" dxfId="516" priority="528">
      <formula>#REF!="RO"</formula>
    </cfRule>
  </conditionalFormatting>
  <conditionalFormatting sqref="L464">
    <cfRule type="expression" dxfId="515" priority="525">
      <formula>#REF!="HO"</formula>
    </cfRule>
    <cfRule type="expression" dxfId="514" priority="526">
      <formula>#REF!="RO"</formula>
    </cfRule>
  </conditionalFormatting>
  <conditionalFormatting sqref="L469">
    <cfRule type="expression" dxfId="513" priority="523">
      <formula>#REF!="HO"</formula>
    </cfRule>
    <cfRule type="expression" dxfId="512" priority="524">
      <formula>#REF!="RO"</formula>
    </cfRule>
  </conditionalFormatting>
  <conditionalFormatting sqref="L470">
    <cfRule type="expression" dxfId="511" priority="521">
      <formula>#REF!="HO"</formula>
    </cfRule>
    <cfRule type="expression" dxfId="510" priority="522">
      <formula>#REF!="RO"</formula>
    </cfRule>
  </conditionalFormatting>
  <conditionalFormatting sqref="L62">
    <cfRule type="expression" dxfId="509" priority="519">
      <formula>#REF!="HO"</formula>
    </cfRule>
    <cfRule type="expression" dxfId="508" priority="520">
      <formula>#REF!="RO"</formula>
    </cfRule>
  </conditionalFormatting>
  <conditionalFormatting sqref="L63">
    <cfRule type="expression" dxfId="507" priority="517">
      <formula>#REF!="HO"</formula>
    </cfRule>
    <cfRule type="expression" dxfId="506" priority="518">
      <formula>#REF!="RO"</formula>
    </cfRule>
  </conditionalFormatting>
  <conditionalFormatting sqref="L66">
    <cfRule type="expression" dxfId="505" priority="515">
      <formula>#REF!="HO"</formula>
    </cfRule>
    <cfRule type="expression" dxfId="504" priority="516">
      <formula>#REF!="RO"</formula>
    </cfRule>
  </conditionalFormatting>
  <conditionalFormatting sqref="L67">
    <cfRule type="expression" dxfId="503" priority="513">
      <formula>#REF!="HO"</formula>
    </cfRule>
    <cfRule type="expression" dxfId="502" priority="514">
      <formula>#REF!="RO"</formula>
    </cfRule>
  </conditionalFormatting>
  <conditionalFormatting sqref="L70">
    <cfRule type="expression" dxfId="501" priority="511">
      <formula>#REF!="HO"</formula>
    </cfRule>
    <cfRule type="expression" dxfId="500" priority="512">
      <formula>#REF!="RO"</formula>
    </cfRule>
  </conditionalFormatting>
  <conditionalFormatting sqref="L73">
    <cfRule type="expression" dxfId="499" priority="509">
      <formula>#REF!="HO"</formula>
    </cfRule>
    <cfRule type="expression" dxfId="498" priority="510">
      <formula>#REF!="RO"</formula>
    </cfRule>
  </conditionalFormatting>
  <conditionalFormatting sqref="L75">
    <cfRule type="expression" dxfId="497" priority="507">
      <formula>#REF!="HO"</formula>
    </cfRule>
    <cfRule type="expression" dxfId="496" priority="508">
      <formula>#REF!="RO"</formula>
    </cfRule>
  </conditionalFormatting>
  <conditionalFormatting sqref="L77">
    <cfRule type="expression" dxfId="495" priority="505">
      <formula>#REF!="HO"</formula>
    </cfRule>
    <cfRule type="expression" dxfId="494" priority="506">
      <formula>#REF!="RO"</formula>
    </cfRule>
  </conditionalFormatting>
  <conditionalFormatting sqref="L79">
    <cfRule type="expression" dxfId="493" priority="503">
      <formula>#REF!="HO"</formula>
    </cfRule>
    <cfRule type="expression" dxfId="492" priority="504">
      <formula>#REF!="RO"</formula>
    </cfRule>
  </conditionalFormatting>
  <conditionalFormatting sqref="L81">
    <cfRule type="expression" dxfId="491" priority="501">
      <formula>#REF!="HO"</formula>
    </cfRule>
    <cfRule type="expression" dxfId="490" priority="502">
      <formula>#REF!="RO"</formula>
    </cfRule>
  </conditionalFormatting>
  <conditionalFormatting sqref="L83">
    <cfRule type="expression" dxfId="489" priority="499">
      <formula>#REF!="HO"</formula>
    </cfRule>
    <cfRule type="expression" dxfId="488" priority="500">
      <formula>#REF!="RO"</formula>
    </cfRule>
  </conditionalFormatting>
  <conditionalFormatting sqref="L85">
    <cfRule type="expression" dxfId="487" priority="497">
      <formula>#REF!="HO"</formula>
    </cfRule>
    <cfRule type="expression" dxfId="486" priority="498">
      <formula>#REF!="RO"</formula>
    </cfRule>
  </conditionalFormatting>
  <conditionalFormatting sqref="L87">
    <cfRule type="expression" dxfId="485" priority="495">
      <formula>#REF!="HO"</formula>
    </cfRule>
    <cfRule type="expression" dxfId="484" priority="496">
      <formula>#REF!="RO"</formula>
    </cfRule>
  </conditionalFormatting>
  <conditionalFormatting sqref="L89">
    <cfRule type="expression" dxfId="483" priority="493">
      <formula>#REF!="HO"</formula>
    </cfRule>
    <cfRule type="expression" dxfId="482" priority="494">
      <formula>#REF!="RO"</formula>
    </cfRule>
  </conditionalFormatting>
  <conditionalFormatting sqref="L263">
    <cfRule type="expression" dxfId="481" priority="491">
      <formula>#REF!="HO"</formula>
    </cfRule>
    <cfRule type="expression" dxfId="480" priority="492">
      <formula>#REF!="RO"</formula>
    </cfRule>
  </conditionalFormatting>
  <conditionalFormatting sqref="L264">
    <cfRule type="expression" dxfId="479" priority="489">
      <formula>#REF!="HO"</formula>
    </cfRule>
    <cfRule type="expression" dxfId="478" priority="490">
      <formula>#REF!="RO"</formula>
    </cfRule>
  </conditionalFormatting>
  <conditionalFormatting sqref="L265">
    <cfRule type="expression" dxfId="477" priority="487">
      <formula>#REF!="HO"</formula>
    </cfRule>
    <cfRule type="expression" dxfId="476" priority="488">
      <formula>#REF!="RO"</formula>
    </cfRule>
  </conditionalFormatting>
  <conditionalFormatting sqref="L267">
    <cfRule type="expression" dxfId="475" priority="485">
      <formula>#REF!="HO"</formula>
    </cfRule>
    <cfRule type="expression" dxfId="474" priority="486">
      <formula>#REF!="RO"</formula>
    </cfRule>
  </conditionalFormatting>
  <conditionalFormatting sqref="L268">
    <cfRule type="expression" dxfId="473" priority="483">
      <formula>#REF!="HO"</formula>
    </cfRule>
    <cfRule type="expression" dxfId="472" priority="484">
      <formula>#REF!="RO"</formula>
    </cfRule>
  </conditionalFormatting>
  <conditionalFormatting sqref="L269">
    <cfRule type="expression" dxfId="471" priority="481">
      <formula>#REF!="HO"</formula>
    </cfRule>
    <cfRule type="expression" dxfId="470" priority="482">
      <formula>#REF!="RO"</formula>
    </cfRule>
  </conditionalFormatting>
  <conditionalFormatting sqref="L344">
    <cfRule type="expression" dxfId="469" priority="479">
      <formula>#REF!="HO"</formula>
    </cfRule>
    <cfRule type="expression" dxfId="468" priority="480">
      <formula>#REF!="RO"</formula>
    </cfRule>
  </conditionalFormatting>
  <conditionalFormatting sqref="L412">
    <cfRule type="expression" dxfId="467" priority="477">
      <formula>#REF!="HO"</formula>
    </cfRule>
    <cfRule type="expression" dxfId="466" priority="478">
      <formula>#REF!="RO"</formula>
    </cfRule>
  </conditionalFormatting>
  <conditionalFormatting sqref="L527">
    <cfRule type="expression" dxfId="465" priority="475">
      <formula>#REF!="HO"</formula>
    </cfRule>
    <cfRule type="expression" dxfId="464" priority="476">
      <formula>#REF!="RO"</formula>
    </cfRule>
  </conditionalFormatting>
  <conditionalFormatting sqref="L528">
    <cfRule type="expression" dxfId="463" priority="473">
      <formula>#REF!="HO"</formula>
    </cfRule>
    <cfRule type="expression" dxfId="462" priority="474">
      <formula>#REF!="RO"</formula>
    </cfRule>
  </conditionalFormatting>
  <conditionalFormatting sqref="L307">
    <cfRule type="expression" dxfId="461" priority="471">
      <formula>#REF!="HO"</formula>
    </cfRule>
    <cfRule type="expression" dxfId="460" priority="472">
      <formula>#REF!="RO"</formula>
    </cfRule>
  </conditionalFormatting>
  <conditionalFormatting sqref="L309">
    <cfRule type="expression" dxfId="459" priority="469">
      <formula>#REF!="HO"</formula>
    </cfRule>
    <cfRule type="expression" dxfId="458" priority="470">
      <formula>#REF!="RO"</formula>
    </cfRule>
  </conditionalFormatting>
  <conditionalFormatting sqref="L311">
    <cfRule type="expression" dxfId="457" priority="467">
      <formula>#REF!="HO"</formula>
    </cfRule>
    <cfRule type="expression" dxfId="456" priority="468">
      <formula>#REF!="RO"</formula>
    </cfRule>
  </conditionalFormatting>
  <conditionalFormatting sqref="L355">
    <cfRule type="expression" dxfId="455" priority="465">
      <formula>#REF!="HO"</formula>
    </cfRule>
    <cfRule type="expression" dxfId="454" priority="466">
      <formula>#REF!="RO"</formula>
    </cfRule>
  </conditionalFormatting>
  <conditionalFormatting sqref="L357">
    <cfRule type="expression" dxfId="453" priority="463">
      <formula>#REF!="HO"</formula>
    </cfRule>
    <cfRule type="expression" dxfId="452" priority="464">
      <formula>#REF!="RO"</formula>
    </cfRule>
  </conditionalFormatting>
  <conditionalFormatting sqref="L359">
    <cfRule type="expression" dxfId="451" priority="461">
      <formula>#REF!="HO"</formula>
    </cfRule>
    <cfRule type="expression" dxfId="450" priority="462">
      <formula>#REF!="RO"</formula>
    </cfRule>
  </conditionalFormatting>
  <conditionalFormatting sqref="L361">
    <cfRule type="expression" dxfId="449" priority="459">
      <formula>#REF!="HO"</formula>
    </cfRule>
    <cfRule type="expression" dxfId="448" priority="460">
      <formula>#REF!="RO"</formula>
    </cfRule>
  </conditionalFormatting>
  <conditionalFormatting sqref="L363">
    <cfRule type="expression" dxfId="447" priority="457">
      <formula>#REF!="HO"</formula>
    </cfRule>
    <cfRule type="expression" dxfId="446" priority="458">
      <formula>#REF!="RO"</formula>
    </cfRule>
  </conditionalFormatting>
  <conditionalFormatting sqref="L367">
    <cfRule type="expression" dxfId="445" priority="455">
      <formula>#REF!="HO"</formula>
    </cfRule>
    <cfRule type="expression" dxfId="444" priority="456">
      <formula>#REF!="RO"</formula>
    </cfRule>
  </conditionalFormatting>
  <conditionalFormatting sqref="L393">
    <cfRule type="expression" dxfId="443" priority="453">
      <formula>#REF!="HO"</formula>
    </cfRule>
    <cfRule type="expression" dxfId="442" priority="454">
      <formula>#REF!="RO"</formula>
    </cfRule>
  </conditionalFormatting>
  <conditionalFormatting sqref="L405">
    <cfRule type="expression" dxfId="441" priority="451">
      <formula>#REF!="HO"</formula>
    </cfRule>
    <cfRule type="expression" dxfId="440" priority="452">
      <formula>#REF!="RO"</formula>
    </cfRule>
  </conditionalFormatting>
  <conditionalFormatting sqref="L31">
    <cfRule type="expression" dxfId="439" priority="449">
      <formula>#REF!="HO"</formula>
    </cfRule>
    <cfRule type="expression" dxfId="438" priority="450">
      <formula>#REF!="RO"</formula>
    </cfRule>
  </conditionalFormatting>
  <conditionalFormatting sqref="L35">
    <cfRule type="expression" dxfId="437" priority="447">
      <formula>#REF!="HO"</formula>
    </cfRule>
    <cfRule type="expression" dxfId="436" priority="448">
      <formula>#REF!="RO"</formula>
    </cfRule>
  </conditionalFormatting>
  <conditionalFormatting sqref="L39">
    <cfRule type="expression" dxfId="435" priority="445">
      <formula>#REF!="HO"</formula>
    </cfRule>
    <cfRule type="expression" dxfId="434" priority="446">
      <formula>#REF!="RO"</formula>
    </cfRule>
  </conditionalFormatting>
  <conditionalFormatting sqref="L40">
    <cfRule type="expression" dxfId="433" priority="443">
      <formula>#REF!="HO"</formula>
    </cfRule>
    <cfRule type="expression" dxfId="432" priority="444">
      <formula>#REF!="RO"</formula>
    </cfRule>
  </conditionalFormatting>
  <conditionalFormatting sqref="L46">
    <cfRule type="expression" dxfId="431" priority="441">
      <formula>#REF!="HO"</formula>
    </cfRule>
    <cfRule type="expression" dxfId="430" priority="442">
      <formula>#REF!="RO"</formula>
    </cfRule>
  </conditionalFormatting>
  <conditionalFormatting sqref="L47">
    <cfRule type="expression" dxfId="429" priority="439">
      <formula>#REF!="HO"</formula>
    </cfRule>
    <cfRule type="expression" dxfId="428" priority="440">
      <formula>#REF!="RO"</formula>
    </cfRule>
  </conditionalFormatting>
  <conditionalFormatting sqref="L51">
    <cfRule type="expression" dxfId="427" priority="437">
      <formula>#REF!="HO"</formula>
    </cfRule>
    <cfRule type="expression" dxfId="426" priority="438">
      <formula>#REF!="RO"</formula>
    </cfRule>
  </conditionalFormatting>
  <conditionalFormatting sqref="L144">
    <cfRule type="expression" dxfId="425" priority="423">
      <formula>#REF!="HO"</formula>
    </cfRule>
    <cfRule type="expression" dxfId="424" priority="424">
      <formula>#REF!="RO"</formula>
    </cfRule>
  </conditionalFormatting>
  <conditionalFormatting sqref="L97">
    <cfRule type="expression" dxfId="423" priority="435">
      <formula>#REF!="HO"</formula>
    </cfRule>
    <cfRule type="expression" dxfId="422" priority="436">
      <formula>#REF!="RO"</formula>
    </cfRule>
  </conditionalFormatting>
  <conditionalFormatting sqref="L115">
    <cfRule type="expression" dxfId="421" priority="433">
      <formula>#REF!="HO"</formula>
    </cfRule>
    <cfRule type="expression" dxfId="420" priority="434">
      <formula>#REF!="RO"</formula>
    </cfRule>
  </conditionalFormatting>
  <conditionalFormatting sqref="L117">
    <cfRule type="expression" dxfId="419" priority="431">
      <formula>#REF!="HO"</formula>
    </cfRule>
    <cfRule type="expression" dxfId="418" priority="432">
      <formula>#REF!="RO"</formula>
    </cfRule>
  </conditionalFormatting>
  <conditionalFormatting sqref="L118">
    <cfRule type="expression" dxfId="417" priority="429">
      <formula>#REF!="HO"</formula>
    </cfRule>
    <cfRule type="expression" dxfId="416" priority="430">
      <formula>#REF!="RO"</formula>
    </cfRule>
  </conditionalFormatting>
  <conditionalFormatting sqref="L123">
    <cfRule type="expression" dxfId="415" priority="427">
      <formula>#REF!="HO"</formula>
    </cfRule>
    <cfRule type="expression" dxfId="414" priority="428">
      <formula>#REF!="RO"</formula>
    </cfRule>
  </conditionalFormatting>
  <conditionalFormatting sqref="L124">
    <cfRule type="expression" dxfId="413" priority="425">
      <formula>#REF!="HO"</formula>
    </cfRule>
    <cfRule type="expression" dxfId="412" priority="426">
      <formula>#REF!="RO"</formula>
    </cfRule>
  </conditionalFormatting>
  <conditionalFormatting sqref="L146">
    <cfRule type="expression" dxfId="411" priority="421">
      <formula>#REF!="HO"</formula>
    </cfRule>
    <cfRule type="expression" dxfId="410" priority="422">
      <formula>#REF!="RO"</formula>
    </cfRule>
  </conditionalFormatting>
  <conditionalFormatting sqref="L147">
    <cfRule type="expression" dxfId="409" priority="419">
      <formula>#REF!="HO"</formula>
    </cfRule>
    <cfRule type="expression" dxfId="408" priority="420">
      <formula>#REF!="RO"</formula>
    </cfRule>
  </conditionalFormatting>
  <conditionalFormatting sqref="L150">
    <cfRule type="expression" dxfId="407" priority="417">
      <formula>#REF!="HO"</formula>
    </cfRule>
    <cfRule type="expression" dxfId="406" priority="418">
      <formula>#REF!="RO"</formula>
    </cfRule>
  </conditionalFormatting>
  <conditionalFormatting sqref="L193">
    <cfRule type="expression" dxfId="405" priority="415">
      <formula>#REF!="HO"</formula>
    </cfRule>
    <cfRule type="expression" dxfId="404" priority="416">
      <formula>#REF!="RO"</formula>
    </cfRule>
  </conditionalFormatting>
  <conditionalFormatting sqref="L204">
    <cfRule type="expression" dxfId="403" priority="413">
      <formula>#REF!="HO"</formula>
    </cfRule>
    <cfRule type="expression" dxfId="402" priority="414">
      <formula>#REF!="RO"</formula>
    </cfRule>
  </conditionalFormatting>
  <conditionalFormatting sqref="L206">
    <cfRule type="expression" dxfId="401" priority="411">
      <formula>#REF!="HO"</formula>
    </cfRule>
    <cfRule type="expression" dxfId="400" priority="412">
      <formula>#REF!="RO"</formula>
    </cfRule>
  </conditionalFormatting>
  <conditionalFormatting sqref="L492">
    <cfRule type="expression" dxfId="399" priority="409">
      <formula>#REF!="HO"</formula>
    </cfRule>
    <cfRule type="expression" dxfId="398" priority="410">
      <formula>#REF!="RO"</formula>
    </cfRule>
  </conditionalFormatting>
  <conditionalFormatting sqref="L493">
    <cfRule type="expression" dxfId="397" priority="407">
      <formula>#REF!="HO"</formula>
    </cfRule>
    <cfRule type="expression" dxfId="396" priority="408">
      <formula>#REF!="RO"</formula>
    </cfRule>
  </conditionalFormatting>
  <conditionalFormatting sqref="L494">
    <cfRule type="expression" dxfId="395" priority="405">
      <formula>#REF!="HO"</formula>
    </cfRule>
    <cfRule type="expression" dxfId="394" priority="406">
      <formula>#REF!="RO"</formula>
    </cfRule>
  </conditionalFormatting>
  <conditionalFormatting sqref="L495">
    <cfRule type="expression" dxfId="393" priority="403">
      <formula>#REF!="HO"</formula>
    </cfRule>
    <cfRule type="expression" dxfId="392" priority="404">
      <formula>#REF!="RO"</formula>
    </cfRule>
  </conditionalFormatting>
  <conditionalFormatting sqref="L496">
    <cfRule type="expression" dxfId="391" priority="401">
      <formula>#REF!="HO"</formula>
    </cfRule>
    <cfRule type="expression" dxfId="390" priority="402">
      <formula>#REF!="RO"</formula>
    </cfRule>
  </conditionalFormatting>
  <conditionalFormatting sqref="L497">
    <cfRule type="expression" dxfId="389" priority="399">
      <formula>#REF!="HO"</formula>
    </cfRule>
    <cfRule type="expression" dxfId="388" priority="400">
      <formula>#REF!="RO"</formula>
    </cfRule>
  </conditionalFormatting>
  <conditionalFormatting sqref="L498">
    <cfRule type="expression" dxfId="387" priority="397">
      <formula>#REF!="HO"</formula>
    </cfRule>
    <cfRule type="expression" dxfId="386" priority="398">
      <formula>#REF!="RO"</formula>
    </cfRule>
  </conditionalFormatting>
  <conditionalFormatting sqref="L499">
    <cfRule type="expression" dxfId="385" priority="395">
      <formula>#REF!="HO"</formula>
    </cfRule>
    <cfRule type="expression" dxfId="384" priority="396">
      <formula>#REF!="RO"</formula>
    </cfRule>
  </conditionalFormatting>
  <conditionalFormatting sqref="L500">
    <cfRule type="expression" dxfId="383" priority="393">
      <formula>#REF!="HO"</formula>
    </cfRule>
    <cfRule type="expression" dxfId="382" priority="394">
      <formula>#REF!="RO"</formula>
    </cfRule>
  </conditionalFormatting>
  <conditionalFormatting sqref="L501">
    <cfRule type="expression" dxfId="381" priority="391">
      <formula>#REF!="HO"</formula>
    </cfRule>
    <cfRule type="expression" dxfId="380" priority="392">
      <formula>#REF!="RO"</formula>
    </cfRule>
  </conditionalFormatting>
  <conditionalFormatting sqref="L502">
    <cfRule type="expression" dxfId="379" priority="389">
      <formula>#REF!="HO"</formula>
    </cfRule>
    <cfRule type="expression" dxfId="378" priority="390">
      <formula>#REF!="RO"</formula>
    </cfRule>
  </conditionalFormatting>
  <conditionalFormatting sqref="L503">
    <cfRule type="expression" dxfId="377" priority="387">
      <formula>#REF!="HO"</formula>
    </cfRule>
    <cfRule type="expression" dxfId="376" priority="388">
      <formula>#REF!="RO"</formula>
    </cfRule>
  </conditionalFormatting>
  <conditionalFormatting sqref="L504">
    <cfRule type="expression" dxfId="375" priority="385">
      <formula>#REF!="HO"</formula>
    </cfRule>
    <cfRule type="expression" dxfId="374" priority="386">
      <formula>#REF!="RO"</formula>
    </cfRule>
  </conditionalFormatting>
  <conditionalFormatting sqref="L505">
    <cfRule type="expression" dxfId="373" priority="383">
      <formula>#REF!="HO"</formula>
    </cfRule>
    <cfRule type="expression" dxfId="372" priority="384">
      <formula>#REF!="RO"</formula>
    </cfRule>
  </conditionalFormatting>
  <conditionalFormatting sqref="L506">
    <cfRule type="expression" dxfId="371" priority="381">
      <formula>#REF!="HO"</formula>
    </cfRule>
    <cfRule type="expression" dxfId="370" priority="382">
      <formula>#REF!="RO"</formula>
    </cfRule>
  </conditionalFormatting>
  <conditionalFormatting sqref="L507">
    <cfRule type="expression" dxfId="369" priority="379">
      <formula>#REF!="HO"</formula>
    </cfRule>
    <cfRule type="expression" dxfId="368" priority="380">
      <formula>#REF!="RO"</formula>
    </cfRule>
  </conditionalFormatting>
  <conditionalFormatting sqref="L508">
    <cfRule type="expression" dxfId="367" priority="377">
      <formula>#REF!="HO"</formula>
    </cfRule>
    <cfRule type="expression" dxfId="366" priority="378">
      <formula>#REF!="RO"</formula>
    </cfRule>
  </conditionalFormatting>
  <conditionalFormatting sqref="L516">
    <cfRule type="expression" dxfId="365" priority="375">
      <formula>#REF!="HO"</formula>
    </cfRule>
    <cfRule type="expression" dxfId="364" priority="376">
      <formula>#REF!="RO"</formula>
    </cfRule>
  </conditionalFormatting>
  <conditionalFormatting sqref="L517">
    <cfRule type="expression" dxfId="363" priority="373">
      <formula>#REF!="HO"</formula>
    </cfRule>
    <cfRule type="expression" dxfId="362" priority="374">
      <formula>#REF!="RO"</formula>
    </cfRule>
  </conditionalFormatting>
  <conditionalFormatting sqref="L518">
    <cfRule type="expression" dxfId="361" priority="371">
      <formula>#REF!="HO"</formula>
    </cfRule>
    <cfRule type="expression" dxfId="360" priority="372">
      <formula>#REF!="RO"</formula>
    </cfRule>
  </conditionalFormatting>
  <conditionalFormatting sqref="L519">
    <cfRule type="expression" dxfId="359" priority="369">
      <formula>#REF!="HO"</formula>
    </cfRule>
    <cfRule type="expression" dxfId="358" priority="370">
      <formula>#REF!="RO"</formula>
    </cfRule>
  </conditionalFormatting>
  <conditionalFormatting sqref="L520">
    <cfRule type="expression" dxfId="357" priority="367">
      <formula>#REF!="HO"</formula>
    </cfRule>
    <cfRule type="expression" dxfId="356" priority="368">
      <formula>#REF!="RO"</formula>
    </cfRule>
  </conditionalFormatting>
  <conditionalFormatting sqref="L96">
    <cfRule type="expression" dxfId="355" priority="365">
      <formula>#REF!="HO"</formula>
    </cfRule>
    <cfRule type="expression" dxfId="354" priority="366">
      <formula>#REF!="RO"</formula>
    </cfRule>
  </conditionalFormatting>
  <conditionalFormatting sqref="L468">
    <cfRule type="expression" dxfId="353" priority="363">
      <formula>#REF!="HO"</formula>
    </cfRule>
    <cfRule type="expression" dxfId="352" priority="364">
      <formula>#REF!="RO"</formula>
    </cfRule>
  </conditionalFormatting>
  <conditionalFormatting sqref="L468">
    <cfRule type="expression" dxfId="351" priority="361">
      <formula>#REF!="HO"</formula>
    </cfRule>
    <cfRule type="expression" dxfId="350" priority="362">
      <formula>#REF!="RO"</formula>
    </cfRule>
  </conditionalFormatting>
  <conditionalFormatting sqref="L467">
    <cfRule type="expression" dxfId="349" priority="359">
      <formula>#REF!="HO"</formula>
    </cfRule>
    <cfRule type="expression" dxfId="348" priority="360">
      <formula>#REF!="RO"</formula>
    </cfRule>
  </conditionalFormatting>
  <conditionalFormatting sqref="L467">
    <cfRule type="expression" dxfId="347" priority="357">
      <formula>#REF!="HO"</formula>
    </cfRule>
    <cfRule type="expression" dxfId="346" priority="358">
      <formula>#REF!="RO"</formula>
    </cfRule>
  </conditionalFormatting>
  <conditionalFormatting sqref="L466">
    <cfRule type="expression" dxfId="345" priority="355">
      <formula>#REF!="HO"</formula>
    </cfRule>
    <cfRule type="expression" dxfId="344" priority="356">
      <formula>#REF!="RO"</formula>
    </cfRule>
  </conditionalFormatting>
  <conditionalFormatting sqref="L466">
    <cfRule type="expression" dxfId="343" priority="353">
      <formula>#REF!="HO"</formula>
    </cfRule>
    <cfRule type="expression" dxfId="342" priority="354">
      <formula>#REF!="RO"</formula>
    </cfRule>
  </conditionalFormatting>
  <conditionalFormatting sqref="L465">
    <cfRule type="expression" dxfId="341" priority="351">
      <formula>#REF!="HO"</formula>
    </cfRule>
    <cfRule type="expression" dxfId="340" priority="352">
      <formula>#REF!="RO"</formula>
    </cfRule>
  </conditionalFormatting>
  <conditionalFormatting sqref="J417">
    <cfRule type="expression" dxfId="339" priority="347">
      <formula>I417="HO"</formula>
    </cfRule>
    <cfRule type="expression" dxfId="338" priority="348">
      <formula>I417="RO"</formula>
    </cfRule>
  </conditionalFormatting>
  <conditionalFormatting sqref="J418">
    <cfRule type="expression" dxfId="337" priority="345">
      <formula>I418="HO"</formula>
    </cfRule>
    <cfRule type="expression" dxfId="336" priority="346">
      <formula>I418="RO"</formula>
    </cfRule>
  </conditionalFormatting>
  <conditionalFormatting sqref="J419">
    <cfRule type="expression" dxfId="335" priority="343">
      <formula>I419="HO"</formula>
    </cfRule>
    <cfRule type="expression" dxfId="334" priority="344">
      <formula>I419="RO"</formula>
    </cfRule>
  </conditionalFormatting>
  <conditionalFormatting sqref="J420">
    <cfRule type="expression" dxfId="333" priority="341">
      <formula>I420="HO"</formula>
    </cfRule>
    <cfRule type="expression" dxfId="332" priority="342">
      <formula>I420="RO"</formula>
    </cfRule>
  </conditionalFormatting>
  <conditionalFormatting sqref="J423">
    <cfRule type="expression" dxfId="331" priority="339">
      <formula>I423="HO"</formula>
    </cfRule>
    <cfRule type="expression" dxfId="330" priority="340">
      <formula>I423="RO"</formula>
    </cfRule>
  </conditionalFormatting>
  <conditionalFormatting sqref="J424">
    <cfRule type="expression" dxfId="329" priority="337">
      <formula>I424="HO"</formula>
    </cfRule>
    <cfRule type="expression" dxfId="328" priority="338">
      <formula>I424="RO"</formula>
    </cfRule>
  </conditionalFormatting>
  <conditionalFormatting sqref="J425">
    <cfRule type="expression" dxfId="327" priority="335">
      <formula>I425="HO"</formula>
    </cfRule>
    <cfRule type="expression" dxfId="326" priority="336">
      <formula>I425="RO"</formula>
    </cfRule>
  </conditionalFormatting>
  <conditionalFormatting sqref="J426">
    <cfRule type="expression" dxfId="325" priority="333">
      <formula>I426="HO"</formula>
    </cfRule>
    <cfRule type="expression" dxfId="324" priority="334">
      <formula>I426="RO"</formula>
    </cfRule>
  </conditionalFormatting>
  <conditionalFormatting sqref="J427">
    <cfRule type="expression" dxfId="323" priority="331">
      <formula>I427="HO"</formula>
    </cfRule>
    <cfRule type="expression" dxfId="322" priority="332">
      <formula>I427="RO"</formula>
    </cfRule>
  </conditionalFormatting>
  <conditionalFormatting sqref="L416:L463">
    <cfRule type="expression" dxfId="321" priority="329">
      <formula>#REF!="HO"</formula>
    </cfRule>
    <cfRule type="expression" dxfId="320" priority="330">
      <formula>#REF!="RO"</formula>
    </cfRule>
  </conditionalFormatting>
  <conditionalFormatting sqref="N417">
    <cfRule type="expression" dxfId="319" priority="327">
      <formula>I417="RO"</formula>
    </cfRule>
    <cfRule type="expression" dxfId="318" priority="328">
      <formula>I417="HO"</formula>
    </cfRule>
  </conditionalFormatting>
  <conditionalFormatting sqref="N418:N463">
    <cfRule type="expression" dxfId="317" priority="325">
      <formula>I418="RO"</formula>
    </cfRule>
    <cfRule type="expression" dxfId="316" priority="326">
      <formula>I418="HO"</formula>
    </cfRule>
  </conditionalFormatting>
  <conditionalFormatting sqref="M10">
    <cfRule type="expression" dxfId="315" priority="323">
      <formula>I10="RO"</formula>
    </cfRule>
    <cfRule type="expression" dxfId="314" priority="324">
      <formula>I10="HO"</formula>
    </cfRule>
  </conditionalFormatting>
  <conditionalFormatting sqref="N10">
    <cfRule type="expression" dxfId="313" priority="321">
      <formula>I10="RO"</formula>
    </cfRule>
    <cfRule type="expression" dxfId="312" priority="322">
      <formula>I10="HO"</formula>
    </cfRule>
  </conditionalFormatting>
  <conditionalFormatting sqref="M12">
    <cfRule type="expression" dxfId="311" priority="319">
      <formula>I12="RO"</formula>
    </cfRule>
    <cfRule type="expression" dxfId="310" priority="320">
      <formula>I12="HO"</formula>
    </cfRule>
  </conditionalFormatting>
  <conditionalFormatting sqref="I11">
    <cfRule type="cellIs" dxfId="309" priority="317" operator="equal">
      <formula>"RO"</formula>
    </cfRule>
    <cfRule type="cellIs" dxfId="308" priority="318" operator="equal">
      <formula>"HO"</formula>
    </cfRule>
  </conditionalFormatting>
  <conditionalFormatting sqref="K11:L11">
    <cfRule type="expression" dxfId="307" priority="315">
      <formula>#REF!="HO"</formula>
    </cfRule>
    <cfRule type="expression" dxfId="306" priority="316">
      <formula>#REF!="RO"</formula>
    </cfRule>
  </conditionalFormatting>
  <conditionalFormatting sqref="M11">
    <cfRule type="expression" dxfId="305" priority="313">
      <formula>I11="RO"</formula>
    </cfRule>
    <cfRule type="expression" dxfId="304" priority="314">
      <formula>I11="HO"</formula>
    </cfRule>
  </conditionalFormatting>
  <conditionalFormatting sqref="N11">
    <cfRule type="expression" dxfId="303" priority="311">
      <formula>I11="RO"</formula>
    </cfRule>
    <cfRule type="expression" dxfId="302" priority="312">
      <formula>I11="HO"</formula>
    </cfRule>
  </conditionalFormatting>
  <conditionalFormatting sqref="N520">
    <cfRule type="expression" dxfId="301" priority="217">
      <formula>I520="RO"</formula>
    </cfRule>
    <cfRule type="expression" dxfId="300" priority="218">
      <formula>I520="HO"</formula>
    </cfRule>
  </conditionalFormatting>
  <conditionalFormatting sqref="N202">
    <cfRule type="expression" dxfId="299" priority="257">
      <formula>I202="RO"</formula>
    </cfRule>
    <cfRule type="expression" dxfId="298" priority="258">
      <formula>I202="HO"</formula>
    </cfRule>
  </conditionalFormatting>
  <conditionalFormatting sqref="L36">
    <cfRule type="expression" dxfId="297" priority="307">
      <formula>#REF!="HO"</formula>
    </cfRule>
    <cfRule type="expression" dxfId="296" priority="308">
      <formula>#REF!="RO"</formula>
    </cfRule>
  </conditionalFormatting>
  <conditionalFormatting sqref="L36">
    <cfRule type="expression" dxfId="295" priority="309">
      <formula>#REF!="HO"</formula>
    </cfRule>
    <cfRule type="expression" dxfId="294" priority="310">
      <formula>#REF!="RO"</formula>
    </cfRule>
  </conditionalFormatting>
  <conditionalFormatting sqref="L94">
    <cfRule type="expression" dxfId="293" priority="305">
      <formula>#REF!="HO"</formula>
    </cfRule>
    <cfRule type="expression" dxfId="292" priority="306">
      <formula>#REF!="RO"</formula>
    </cfRule>
  </conditionalFormatting>
  <conditionalFormatting sqref="N91">
    <cfRule type="expression" dxfId="291" priority="289">
      <formula>I91="RO"</formula>
    </cfRule>
    <cfRule type="expression" dxfId="290" priority="290">
      <formula>I91="HO"</formula>
    </cfRule>
  </conditionalFormatting>
  <conditionalFormatting sqref="N36">
    <cfRule type="expression" dxfId="289" priority="303">
      <formula>I36="RO"</formula>
    </cfRule>
    <cfRule type="expression" dxfId="288" priority="304">
      <formula>I36="HO"</formula>
    </cfRule>
  </conditionalFormatting>
  <conditionalFormatting sqref="N44">
    <cfRule type="expression" dxfId="287" priority="301">
      <formula>I44="RO"</formula>
    </cfRule>
    <cfRule type="expression" dxfId="286" priority="302">
      <formula>I44="HO"</formula>
    </cfRule>
  </conditionalFormatting>
  <conditionalFormatting sqref="N45">
    <cfRule type="expression" dxfId="285" priority="299">
      <formula>I45="RO"</formula>
    </cfRule>
    <cfRule type="expression" dxfId="284" priority="300">
      <formula>I45="HO"</formula>
    </cfRule>
  </conditionalFormatting>
  <conditionalFormatting sqref="N67">
    <cfRule type="expression" dxfId="283" priority="297">
      <formula>I67="RO"</formula>
    </cfRule>
    <cfRule type="expression" dxfId="282" priority="298">
      <formula>I67="HO"</formula>
    </cfRule>
  </conditionalFormatting>
  <conditionalFormatting sqref="N70">
    <cfRule type="expression" dxfId="281" priority="295">
      <formula>I70="RO"</formula>
    </cfRule>
    <cfRule type="expression" dxfId="280" priority="296">
      <formula>I70="HO"</formula>
    </cfRule>
  </conditionalFormatting>
  <conditionalFormatting sqref="N72">
    <cfRule type="expression" dxfId="279" priority="293">
      <formula>I72="RO"</formula>
    </cfRule>
    <cfRule type="expression" dxfId="278" priority="294">
      <formula>I72="HO"</formula>
    </cfRule>
  </conditionalFormatting>
  <conditionalFormatting sqref="N90">
    <cfRule type="expression" dxfId="277" priority="291">
      <formula>I90="RO"</formula>
    </cfRule>
    <cfRule type="expression" dxfId="276" priority="292">
      <formula>I90="HO"</formula>
    </cfRule>
  </conditionalFormatting>
  <conditionalFormatting sqref="N92">
    <cfRule type="expression" dxfId="275" priority="287">
      <formula>I92="RO"</formula>
    </cfRule>
    <cfRule type="expression" dxfId="274" priority="288">
      <formula>I92="HO"</formula>
    </cfRule>
  </conditionalFormatting>
  <conditionalFormatting sqref="N93">
    <cfRule type="expression" dxfId="273" priority="285">
      <formula>I93="RO"</formula>
    </cfRule>
    <cfRule type="expression" dxfId="272" priority="286">
      <formula>I93="HO"</formula>
    </cfRule>
  </conditionalFormatting>
  <conditionalFormatting sqref="N94">
    <cfRule type="expression" dxfId="271" priority="283">
      <formula>I94="RO"</formula>
    </cfRule>
    <cfRule type="expression" dxfId="270" priority="284">
      <formula>I94="HO"</formula>
    </cfRule>
  </conditionalFormatting>
  <conditionalFormatting sqref="N95">
    <cfRule type="expression" dxfId="269" priority="281">
      <formula>I95="RO"</formula>
    </cfRule>
    <cfRule type="expression" dxfId="268" priority="282">
      <formula>I95="HO"</formula>
    </cfRule>
  </conditionalFormatting>
  <conditionalFormatting sqref="N99">
    <cfRule type="expression" dxfId="267" priority="279">
      <formula>I99="RO"</formula>
    </cfRule>
    <cfRule type="expression" dxfId="266" priority="280">
      <formula>I99="HO"</formula>
    </cfRule>
  </conditionalFormatting>
  <conditionalFormatting sqref="N120">
    <cfRule type="expression" dxfId="265" priority="277">
      <formula>I120="RO"</formula>
    </cfRule>
    <cfRule type="expression" dxfId="264" priority="278">
      <formula>I120="HO"</formula>
    </cfRule>
  </conditionalFormatting>
  <conditionalFormatting sqref="N121">
    <cfRule type="expression" dxfId="263" priority="275">
      <formula>I121="RO"</formula>
    </cfRule>
    <cfRule type="expression" dxfId="262" priority="276">
      <formula>I121="HO"</formula>
    </cfRule>
  </conditionalFormatting>
  <conditionalFormatting sqref="N148">
    <cfRule type="expression" dxfId="261" priority="273">
      <formula>I148="RO"</formula>
    </cfRule>
    <cfRule type="expression" dxfId="260" priority="274">
      <formula>I148="HO"</formula>
    </cfRule>
  </conditionalFormatting>
  <conditionalFormatting sqref="N155">
    <cfRule type="expression" dxfId="259" priority="271">
      <formula>I155="RO"</formula>
    </cfRule>
    <cfRule type="expression" dxfId="258" priority="272">
      <formula>I155="HO"</formula>
    </cfRule>
  </conditionalFormatting>
  <conditionalFormatting sqref="N187">
    <cfRule type="expression" dxfId="257" priority="269">
      <formula>I187="RO"</formula>
    </cfRule>
    <cfRule type="expression" dxfId="256" priority="270">
      <formula>I187="HO"</formula>
    </cfRule>
  </conditionalFormatting>
  <conditionalFormatting sqref="N188">
    <cfRule type="expression" dxfId="255" priority="267">
      <formula>I188="RO"</formula>
    </cfRule>
    <cfRule type="expression" dxfId="254" priority="268">
      <formula>I188="HO"</formula>
    </cfRule>
  </conditionalFormatting>
  <conditionalFormatting sqref="N197">
    <cfRule type="expression" dxfId="253" priority="265">
      <formula>I197="RO"</formula>
    </cfRule>
    <cfRule type="expression" dxfId="252" priority="266">
      <formula>I197="HO"</formula>
    </cfRule>
  </conditionalFormatting>
  <conditionalFormatting sqref="N198">
    <cfRule type="expression" dxfId="251" priority="263">
      <formula>I198="RO"</formula>
    </cfRule>
    <cfRule type="expression" dxfId="250" priority="264">
      <formula>I198="HO"</formula>
    </cfRule>
  </conditionalFormatting>
  <conditionalFormatting sqref="N200">
    <cfRule type="expression" dxfId="249" priority="261">
      <formula>I200="RO"</formula>
    </cfRule>
    <cfRule type="expression" dxfId="248" priority="262">
      <formula>I200="HO"</formula>
    </cfRule>
  </conditionalFormatting>
  <conditionalFormatting sqref="N201">
    <cfRule type="expression" dxfId="247" priority="259">
      <formula>I201="RO"</formula>
    </cfRule>
    <cfRule type="expression" dxfId="246" priority="260">
      <formula>I201="HO"</formula>
    </cfRule>
  </conditionalFormatting>
  <conditionalFormatting sqref="N203">
    <cfRule type="expression" dxfId="245" priority="255">
      <formula>I203="RO"</formula>
    </cfRule>
    <cfRule type="expression" dxfId="244" priority="256">
      <formula>I203="HO"</formula>
    </cfRule>
  </conditionalFormatting>
  <conditionalFormatting sqref="N210">
    <cfRule type="expression" dxfId="243" priority="253">
      <formula>I210="RO"</formula>
    </cfRule>
    <cfRule type="expression" dxfId="242" priority="254">
      <formula>I210="HO"</formula>
    </cfRule>
  </conditionalFormatting>
  <conditionalFormatting sqref="N213">
    <cfRule type="expression" dxfId="241" priority="251">
      <formula>I213="RO"</formula>
    </cfRule>
    <cfRule type="expression" dxfId="240" priority="252">
      <formula>I213="HO"</formula>
    </cfRule>
  </conditionalFormatting>
  <conditionalFormatting sqref="N240">
    <cfRule type="expression" dxfId="239" priority="249">
      <formula>I240="RO"</formula>
    </cfRule>
    <cfRule type="expression" dxfId="238" priority="250">
      <formula>I240="HO"</formula>
    </cfRule>
  </conditionalFormatting>
  <conditionalFormatting sqref="N241">
    <cfRule type="expression" dxfId="237" priority="247">
      <formula>I241="RO"</formula>
    </cfRule>
    <cfRule type="expression" dxfId="236" priority="248">
      <formula>I241="HO"</formula>
    </cfRule>
  </conditionalFormatting>
  <conditionalFormatting sqref="N242">
    <cfRule type="expression" dxfId="235" priority="245">
      <formula>I242="RO"</formula>
    </cfRule>
    <cfRule type="expression" dxfId="234" priority="246">
      <formula>I242="HO"</formula>
    </cfRule>
  </conditionalFormatting>
  <conditionalFormatting sqref="N270">
    <cfRule type="expression" dxfId="233" priority="243">
      <formula>I270="RO"</formula>
    </cfRule>
    <cfRule type="expression" dxfId="232" priority="244">
      <formula>I270="HO"</formula>
    </cfRule>
  </conditionalFormatting>
  <conditionalFormatting sqref="J413">
    <cfRule type="expression" dxfId="231" priority="241">
      <formula>I413="HO"</formula>
    </cfRule>
    <cfRule type="expression" dxfId="230" priority="242">
      <formula>I413="RO"</formula>
    </cfRule>
  </conditionalFormatting>
  <conditionalFormatting sqref="J414">
    <cfRule type="expression" dxfId="229" priority="239">
      <formula>I414="HO"</formula>
    </cfRule>
    <cfRule type="expression" dxfId="228" priority="240">
      <formula>I414="RO"</formula>
    </cfRule>
  </conditionalFormatting>
  <conditionalFormatting sqref="N465">
    <cfRule type="expression" dxfId="227" priority="237">
      <formula>I465="RO"</formula>
    </cfRule>
    <cfRule type="expression" dxfId="226" priority="238">
      <formula>I465="HO"</formula>
    </cfRule>
  </conditionalFormatting>
  <conditionalFormatting sqref="N466">
    <cfRule type="expression" dxfId="225" priority="235">
      <formula>I466="RO"</formula>
    </cfRule>
    <cfRule type="expression" dxfId="224" priority="236">
      <formula>I466="HO"</formula>
    </cfRule>
  </conditionalFormatting>
  <conditionalFormatting sqref="N467">
    <cfRule type="expression" dxfId="223" priority="233">
      <formula>I467="RO"</formula>
    </cfRule>
    <cfRule type="expression" dxfId="222" priority="234">
      <formula>I467="HO"</formula>
    </cfRule>
  </conditionalFormatting>
  <conditionalFormatting sqref="N468">
    <cfRule type="expression" dxfId="221" priority="231">
      <formula>I468="RO"</formula>
    </cfRule>
    <cfRule type="expression" dxfId="220" priority="232">
      <formula>I468="HO"</formula>
    </cfRule>
  </conditionalFormatting>
  <conditionalFormatting sqref="N97">
    <cfRule type="expression" dxfId="219" priority="229">
      <formula>I97="RO"</formula>
    </cfRule>
    <cfRule type="expression" dxfId="218" priority="230">
      <formula>I97="HO"</formula>
    </cfRule>
  </conditionalFormatting>
  <conditionalFormatting sqref="N117">
    <cfRule type="expression" dxfId="217" priority="227">
      <formula>I117="RO"</formula>
    </cfRule>
    <cfRule type="expression" dxfId="216" priority="228">
      <formula>I117="HO"</formula>
    </cfRule>
  </conditionalFormatting>
  <conditionalFormatting sqref="N118">
    <cfRule type="expression" dxfId="215" priority="225">
      <formula>I118="RO"</formula>
    </cfRule>
    <cfRule type="expression" dxfId="214" priority="226">
      <formula>I118="HO"</formula>
    </cfRule>
  </conditionalFormatting>
  <conditionalFormatting sqref="N482">
    <cfRule type="expression" dxfId="213" priority="223">
      <formula>I482="RO"</formula>
    </cfRule>
    <cfRule type="expression" dxfId="212" priority="224">
      <formula>I482="HO"</formula>
    </cfRule>
  </conditionalFormatting>
  <conditionalFormatting sqref="N488">
    <cfRule type="expression" dxfId="211" priority="221">
      <formula>I488="RO"</formula>
    </cfRule>
    <cfRule type="expression" dxfId="210" priority="222">
      <formula>I488="HO"</formula>
    </cfRule>
  </conditionalFormatting>
  <conditionalFormatting sqref="N490">
    <cfRule type="expression" dxfId="209" priority="219">
      <formula>I490="RO"</formula>
    </cfRule>
    <cfRule type="expression" dxfId="208" priority="220">
      <formula>I490="HO"</formula>
    </cfRule>
  </conditionalFormatting>
  <conditionalFormatting sqref="J113:L113">
    <cfRule type="expression" dxfId="207" priority="209">
      <formula>I113="HO"</formula>
    </cfRule>
    <cfRule type="expression" dxfId="206" priority="210">
      <formula>I113="RO"</formula>
    </cfRule>
  </conditionalFormatting>
  <conditionalFormatting sqref="I113">
    <cfRule type="cellIs" dxfId="205" priority="215" operator="equal">
      <formula>"RO"</formula>
    </cfRule>
    <cfRule type="cellIs" dxfId="204" priority="216" operator="equal">
      <formula>"HO"</formula>
    </cfRule>
  </conditionalFormatting>
  <conditionalFormatting sqref="N113">
    <cfRule type="expression" dxfId="203" priority="211">
      <formula>I113="RO"</formula>
    </cfRule>
    <cfRule type="expression" dxfId="202" priority="212">
      <formula>I113="HO"</formula>
    </cfRule>
  </conditionalFormatting>
  <conditionalFormatting sqref="M113">
    <cfRule type="expression" dxfId="201" priority="213">
      <formula>I113="RO"</formula>
    </cfRule>
    <cfRule type="expression" dxfId="200" priority="214">
      <formula>I113="HO"</formula>
    </cfRule>
  </conditionalFormatting>
  <conditionalFormatting sqref="M16">
    <cfRule type="expression" dxfId="199" priority="207">
      <formula>I16="RO"</formula>
    </cfRule>
    <cfRule type="expression" dxfId="198" priority="208">
      <formula>I16="HO"</formula>
    </cfRule>
  </conditionalFormatting>
  <conditionalFormatting sqref="N16">
    <cfRule type="expression" dxfId="197" priority="203">
      <formula>I16="RO"</formula>
    </cfRule>
    <cfRule type="expression" dxfId="196" priority="204">
      <formula>I16="HO"</formula>
    </cfRule>
  </conditionalFormatting>
  <conditionalFormatting sqref="K16:L16">
    <cfRule type="expression" dxfId="195" priority="205">
      <formula>#REF!="HO"</formula>
    </cfRule>
    <cfRule type="expression" dxfId="194" priority="206">
      <formula>#REF!="RO"</formula>
    </cfRule>
  </conditionalFormatting>
  <conditionalFormatting sqref="M103">
    <cfRule type="expression" dxfId="193" priority="201">
      <formula>I103="RO"</formula>
    </cfRule>
    <cfRule type="expression" dxfId="192" priority="202">
      <formula>I103="HO"</formula>
    </cfRule>
  </conditionalFormatting>
  <conditionalFormatting sqref="K103:L103">
    <cfRule type="expression" dxfId="191" priority="199">
      <formula>#REF!="HO"</formula>
    </cfRule>
    <cfRule type="expression" dxfId="190" priority="200">
      <formula>#REF!="RO"</formula>
    </cfRule>
  </conditionalFormatting>
  <conditionalFormatting sqref="M105">
    <cfRule type="expression" dxfId="189" priority="197">
      <formula>I105="RO"</formula>
    </cfRule>
    <cfRule type="expression" dxfId="188" priority="198">
      <formula>I105="HO"</formula>
    </cfRule>
  </conditionalFormatting>
  <conditionalFormatting sqref="K105">
    <cfRule type="expression" dxfId="187" priority="195">
      <formula>#REF!="HO"</formula>
    </cfRule>
    <cfRule type="expression" dxfId="186" priority="196">
      <formula>#REF!="RO"</formula>
    </cfRule>
  </conditionalFormatting>
  <conditionalFormatting sqref="L105">
    <cfRule type="expression" dxfId="185" priority="193">
      <formula>#REF!="HO"</formula>
    </cfRule>
    <cfRule type="expression" dxfId="184" priority="194">
      <formula>#REF!="RO"</formula>
    </cfRule>
  </conditionalFormatting>
  <conditionalFormatting sqref="M107">
    <cfRule type="expression" dxfId="183" priority="191">
      <formula>I107="RO"</formula>
    </cfRule>
    <cfRule type="expression" dxfId="182" priority="192">
      <formula>I107="HO"</formula>
    </cfRule>
  </conditionalFormatting>
  <conditionalFormatting sqref="K107">
    <cfRule type="expression" dxfId="181" priority="189">
      <formula>#REF!="HO"</formula>
    </cfRule>
    <cfRule type="expression" dxfId="180" priority="190">
      <formula>#REF!="RO"</formula>
    </cfRule>
  </conditionalFormatting>
  <conditionalFormatting sqref="L107">
    <cfRule type="expression" dxfId="179" priority="187">
      <formula>#REF!="HO"</formula>
    </cfRule>
    <cfRule type="expression" dxfId="178" priority="188">
      <formula>#REF!="RO"</formula>
    </cfRule>
  </conditionalFormatting>
  <conditionalFormatting sqref="M109">
    <cfRule type="expression" dxfId="177" priority="185">
      <formula>I109="RO"</formula>
    </cfRule>
    <cfRule type="expression" dxfId="176" priority="186">
      <formula>I109="HO"</formula>
    </cfRule>
  </conditionalFormatting>
  <conditionalFormatting sqref="K109">
    <cfRule type="expression" dxfId="175" priority="183">
      <formula>#REF!="HO"</formula>
    </cfRule>
    <cfRule type="expression" dxfId="174" priority="184">
      <formula>#REF!="RO"</formula>
    </cfRule>
  </conditionalFormatting>
  <conditionalFormatting sqref="L109">
    <cfRule type="expression" dxfId="173" priority="181">
      <formula>#REF!="HO"</formula>
    </cfRule>
    <cfRule type="expression" dxfId="172" priority="182">
      <formula>#REF!="RO"</formula>
    </cfRule>
  </conditionalFormatting>
  <conditionalFormatting sqref="M106">
    <cfRule type="expression" dxfId="171" priority="179">
      <formula>I106="RO"</formula>
    </cfRule>
    <cfRule type="expression" dxfId="170" priority="180">
      <formula>I106="HO"</formula>
    </cfRule>
  </conditionalFormatting>
  <conditionalFormatting sqref="K106">
    <cfRule type="expression" dxfId="169" priority="177">
      <formula>#REF!="HO"</formula>
    </cfRule>
    <cfRule type="expression" dxfId="168" priority="178">
      <formula>#REF!="RO"</formula>
    </cfRule>
  </conditionalFormatting>
  <conditionalFormatting sqref="L106">
    <cfRule type="expression" dxfId="167" priority="175">
      <formula>#REF!="HO"</formula>
    </cfRule>
    <cfRule type="expression" dxfId="166" priority="176">
      <formula>#REF!="RO"</formula>
    </cfRule>
  </conditionalFormatting>
  <conditionalFormatting sqref="M108">
    <cfRule type="expression" dxfId="165" priority="173">
      <formula>I108="RO"</formula>
    </cfRule>
    <cfRule type="expression" dxfId="164" priority="174">
      <formula>I108="HO"</formula>
    </cfRule>
  </conditionalFormatting>
  <conditionalFormatting sqref="K108">
    <cfRule type="expression" dxfId="163" priority="171">
      <formula>#REF!="HO"</formula>
    </cfRule>
    <cfRule type="expression" dxfId="162" priority="172">
      <formula>#REF!="RO"</formula>
    </cfRule>
  </conditionalFormatting>
  <conditionalFormatting sqref="L108">
    <cfRule type="expression" dxfId="161" priority="169">
      <formula>#REF!="HO"</formula>
    </cfRule>
    <cfRule type="expression" dxfId="160" priority="170">
      <formula>#REF!="RO"</formula>
    </cfRule>
  </conditionalFormatting>
  <conditionalFormatting sqref="N168">
    <cfRule type="expression" dxfId="159" priority="165">
      <formula>I168="RO"</formula>
    </cfRule>
    <cfRule type="expression" dxfId="158" priority="166">
      <formula>I168="HO"</formula>
    </cfRule>
  </conditionalFormatting>
  <conditionalFormatting sqref="M168">
    <cfRule type="expression" dxfId="157" priority="167">
      <formula>I168="RO"</formula>
    </cfRule>
    <cfRule type="expression" dxfId="156" priority="168">
      <formula>I168="HO"</formula>
    </cfRule>
  </conditionalFormatting>
  <conditionalFormatting sqref="K168:L168">
    <cfRule type="expression" dxfId="155" priority="163">
      <formula>#REF!="HO"</formula>
    </cfRule>
    <cfRule type="expression" dxfId="154" priority="164">
      <formula>#REF!="RO"</formula>
    </cfRule>
  </conditionalFormatting>
  <conditionalFormatting sqref="M251">
    <cfRule type="expression" dxfId="153" priority="161">
      <formula>I251="RO"</formula>
    </cfRule>
    <cfRule type="expression" dxfId="152" priority="162">
      <formula>I251="HO"</formula>
    </cfRule>
  </conditionalFormatting>
  <conditionalFormatting sqref="K251:L251">
    <cfRule type="expression" dxfId="151" priority="159">
      <formula>#REF!="HO"</formula>
    </cfRule>
    <cfRule type="expression" dxfId="150" priority="160">
      <formula>#REF!="RO"</formula>
    </cfRule>
  </conditionalFormatting>
  <conditionalFormatting sqref="M252">
    <cfRule type="expression" dxfId="149" priority="157">
      <formula>I252="RO"</formula>
    </cfRule>
    <cfRule type="expression" dxfId="148" priority="158">
      <formula>I252="HO"</formula>
    </cfRule>
  </conditionalFormatting>
  <conditionalFormatting sqref="K252:L252">
    <cfRule type="expression" dxfId="147" priority="155">
      <formula>#REF!="HO"</formula>
    </cfRule>
    <cfRule type="expression" dxfId="146" priority="156">
      <formula>#REF!="RO"</formula>
    </cfRule>
  </conditionalFormatting>
  <conditionalFormatting sqref="M224">
    <cfRule type="expression" dxfId="145" priority="153">
      <formula>I224="RO"</formula>
    </cfRule>
    <cfRule type="expression" dxfId="144" priority="154">
      <formula>I224="HO"</formula>
    </cfRule>
  </conditionalFormatting>
  <conditionalFormatting sqref="K224:L224">
    <cfRule type="expression" dxfId="143" priority="151">
      <formula>#REF!="HO"</formula>
    </cfRule>
    <cfRule type="expression" dxfId="142" priority="152">
      <formula>#REF!="RO"</formula>
    </cfRule>
  </conditionalFormatting>
  <conditionalFormatting sqref="M225">
    <cfRule type="expression" dxfId="141" priority="149">
      <formula>I225="RO"</formula>
    </cfRule>
    <cfRule type="expression" dxfId="140" priority="150">
      <formula>I225="HO"</formula>
    </cfRule>
  </conditionalFormatting>
  <conditionalFormatting sqref="K225:L225">
    <cfRule type="expression" dxfId="139" priority="147">
      <formula>#REF!="HO"</formula>
    </cfRule>
    <cfRule type="expression" dxfId="138" priority="148">
      <formula>#REF!="RO"</formula>
    </cfRule>
  </conditionalFormatting>
  <conditionalFormatting sqref="M226">
    <cfRule type="expression" dxfId="137" priority="145">
      <formula>I226="RO"</formula>
    </cfRule>
    <cfRule type="expression" dxfId="136" priority="146">
      <formula>I226="HO"</formula>
    </cfRule>
  </conditionalFormatting>
  <conditionalFormatting sqref="K226:L226">
    <cfRule type="expression" dxfId="135" priority="143">
      <formula>#REF!="HO"</formula>
    </cfRule>
    <cfRule type="expression" dxfId="134" priority="144">
      <formula>#REF!="RO"</formula>
    </cfRule>
  </conditionalFormatting>
  <conditionalFormatting sqref="M227">
    <cfRule type="expression" dxfId="133" priority="141">
      <formula>I227="RO"</formula>
    </cfRule>
    <cfRule type="expression" dxfId="132" priority="142">
      <formula>I227="HO"</formula>
    </cfRule>
  </conditionalFormatting>
  <conditionalFormatting sqref="K227:L227">
    <cfRule type="expression" dxfId="131" priority="139">
      <formula>#REF!="HO"</formula>
    </cfRule>
    <cfRule type="expression" dxfId="130" priority="140">
      <formula>#REF!="RO"</formula>
    </cfRule>
  </conditionalFormatting>
  <conditionalFormatting sqref="N510">
    <cfRule type="expression" dxfId="129" priority="133">
      <formula>I510="RO"</formula>
    </cfRule>
    <cfRule type="expression" dxfId="128" priority="134">
      <formula>I510="HO"</formula>
    </cfRule>
  </conditionalFormatting>
  <conditionalFormatting sqref="N511">
    <cfRule type="expression" dxfId="127" priority="131">
      <formula>I511="RO"</formula>
    </cfRule>
    <cfRule type="expression" dxfId="126" priority="132">
      <formula>I511="HO"</formula>
    </cfRule>
  </conditionalFormatting>
  <conditionalFormatting sqref="N512">
    <cfRule type="expression" dxfId="125" priority="129">
      <formula>I512="RO"</formula>
    </cfRule>
    <cfRule type="expression" dxfId="124" priority="130">
      <formula>I512="HO"</formula>
    </cfRule>
  </conditionalFormatting>
  <conditionalFormatting sqref="N513">
    <cfRule type="expression" dxfId="123" priority="127">
      <formula>I513="RO"</formula>
    </cfRule>
    <cfRule type="expression" dxfId="122" priority="128">
      <formula>I513="HO"</formula>
    </cfRule>
  </conditionalFormatting>
  <conditionalFormatting sqref="N514">
    <cfRule type="expression" dxfId="121" priority="125">
      <formula>I514="RO"</formula>
    </cfRule>
    <cfRule type="expression" dxfId="120" priority="126">
      <formula>I514="HO"</formula>
    </cfRule>
  </conditionalFormatting>
  <conditionalFormatting sqref="N515">
    <cfRule type="expression" dxfId="119" priority="123">
      <formula>I515="RO"</formula>
    </cfRule>
    <cfRule type="expression" dxfId="118" priority="124">
      <formula>I515="HO"</formula>
    </cfRule>
  </conditionalFormatting>
  <conditionalFormatting sqref="M510">
    <cfRule type="expression" dxfId="117" priority="121">
      <formula>I510="RO"</formula>
    </cfRule>
    <cfRule type="expression" dxfId="116" priority="122">
      <formula>I510="HO"</formula>
    </cfRule>
  </conditionalFormatting>
  <conditionalFormatting sqref="K510">
    <cfRule type="expression" dxfId="115" priority="119">
      <formula>#REF!="HO"</formula>
    </cfRule>
    <cfRule type="expression" dxfId="114" priority="120">
      <formula>#REF!="RO"</formula>
    </cfRule>
  </conditionalFormatting>
  <conditionalFormatting sqref="L510">
    <cfRule type="expression" dxfId="113" priority="117">
      <formula>#REF!="HO"</formula>
    </cfRule>
    <cfRule type="expression" dxfId="112" priority="118">
      <formula>#REF!="RO"</formula>
    </cfRule>
  </conditionalFormatting>
  <conditionalFormatting sqref="M511">
    <cfRule type="expression" dxfId="111" priority="115">
      <formula>I511="RO"</formula>
    </cfRule>
    <cfRule type="expression" dxfId="110" priority="116">
      <formula>I511="HO"</formula>
    </cfRule>
  </conditionalFormatting>
  <conditionalFormatting sqref="K511">
    <cfRule type="expression" dxfId="109" priority="113">
      <formula>#REF!="HO"</formula>
    </cfRule>
    <cfRule type="expression" dxfId="108" priority="114">
      <formula>#REF!="RO"</formula>
    </cfRule>
  </conditionalFormatting>
  <conditionalFormatting sqref="L511">
    <cfRule type="expression" dxfId="107" priority="111">
      <formula>#REF!="HO"</formula>
    </cfRule>
    <cfRule type="expression" dxfId="106" priority="112">
      <formula>#REF!="RO"</formula>
    </cfRule>
  </conditionalFormatting>
  <conditionalFormatting sqref="M512">
    <cfRule type="expression" dxfId="105" priority="109">
      <formula>I512="RO"</formula>
    </cfRule>
    <cfRule type="expression" dxfId="104" priority="110">
      <formula>I512="HO"</formula>
    </cfRule>
  </conditionalFormatting>
  <conditionalFormatting sqref="K512">
    <cfRule type="expression" dxfId="103" priority="107">
      <formula>#REF!="HO"</formula>
    </cfRule>
    <cfRule type="expression" dxfId="102" priority="108">
      <formula>#REF!="RO"</formula>
    </cfRule>
  </conditionalFormatting>
  <conditionalFormatting sqref="L512">
    <cfRule type="expression" dxfId="101" priority="105">
      <formula>#REF!="HO"</formula>
    </cfRule>
    <cfRule type="expression" dxfId="100" priority="106">
      <formula>#REF!="RO"</formula>
    </cfRule>
  </conditionalFormatting>
  <conditionalFormatting sqref="M513">
    <cfRule type="expression" dxfId="99" priority="103">
      <formula>I513="RO"</formula>
    </cfRule>
    <cfRule type="expression" dxfId="98" priority="104">
      <formula>I513="HO"</formula>
    </cfRule>
  </conditionalFormatting>
  <conditionalFormatting sqref="K513">
    <cfRule type="expression" dxfId="97" priority="101">
      <formula>#REF!="HO"</formula>
    </cfRule>
    <cfRule type="expression" dxfId="96" priority="102">
      <formula>#REF!="RO"</formula>
    </cfRule>
  </conditionalFormatting>
  <conditionalFormatting sqref="L513">
    <cfRule type="expression" dxfId="95" priority="99">
      <formula>#REF!="HO"</formula>
    </cfRule>
    <cfRule type="expression" dxfId="94" priority="100">
      <formula>#REF!="RO"</formula>
    </cfRule>
  </conditionalFormatting>
  <conditionalFormatting sqref="M514">
    <cfRule type="expression" dxfId="93" priority="97">
      <formula>I514="RO"</formula>
    </cfRule>
    <cfRule type="expression" dxfId="92" priority="98">
      <formula>I514="HO"</formula>
    </cfRule>
  </conditionalFormatting>
  <conditionalFormatting sqref="K514">
    <cfRule type="expression" dxfId="91" priority="95">
      <formula>#REF!="HO"</formula>
    </cfRule>
    <cfRule type="expression" dxfId="90" priority="96">
      <formula>#REF!="RO"</formula>
    </cfRule>
  </conditionalFormatting>
  <conditionalFormatting sqref="L514">
    <cfRule type="expression" dxfId="89" priority="93">
      <formula>#REF!="HO"</formula>
    </cfRule>
    <cfRule type="expression" dxfId="88" priority="94">
      <formula>#REF!="RO"</formula>
    </cfRule>
  </conditionalFormatting>
  <conditionalFormatting sqref="M515">
    <cfRule type="expression" dxfId="87" priority="91">
      <formula>I515="RO"</formula>
    </cfRule>
    <cfRule type="expression" dxfId="86" priority="92">
      <formula>I515="HO"</formula>
    </cfRule>
  </conditionalFormatting>
  <conditionalFormatting sqref="K515">
    <cfRule type="expression" dxfId="85" priority="89">
      <formula>#REF!="HO"</formula>
    </cfRule>
    <cfRule type="expression" dxfId="84" priority="90">
      <formula>#REF!="RO"</formula>
    </cfRule>
  </conditionalFormatting>
  <conditionalFormatting sqref="L515">
    <cfRule type="expression" dxfId="83" priority="87">
      <formula>#REF!="HO"</formula>
    </cfRule>
    <cfRule type="expression" dxfId="82" priority="88">
      <formula>#REF!="RO"</formula>
    </cfRule>
  </conditionalFormatting>
  <conditionalFormatting sqref="N509">
    <cfRule type="expression" dxfId="81" priority="83">
      <formula>I509="RO"</formula>
    </cfRule>
    <cfRule type="expression" dxfId="80" priority="84">
      <formula>I509="HO"</formula>
    </cfRule>
  </conditionalFormatting>
  <conditionalFormatting sqref="M509">
    <cfRule type="expression" dxfId="79" priority="85">
      <formula>I509="RO"</formula>
    </cfRule>
    <cfRule type="expression" dxfId="78" priority="86">
      <formula>I509="HO"</formula>
    </cfRule>
  </conditionalFormatting>
  <conditionalFormatting sqref="J509:L509">
    <cfRule type="expression" dxfId="77" priority="81">
      <formula>I509="HO"</formula>
    </cfRule>
    <cfRule type="expression" dxfId="76" priority="82">
      <formula>I509="RO"</formula>
    </cfRule>
  </conditionalFormatting>
  <conditionalFormatting sqref="M9">
    <cfRule type="expression" dxfId="75" priority="79">
      <formula>I9="RO"</formula>
    </cfRule>
    <cfRule type="expression" dxfId="74" priority="80">
      <formula>I9="HO"</formula>
    </cfRule>
  </conditionalFormatting>
  <conditionalFormatting sqref="N530">
    <cfRule type="expression" dxfId="73" priority="73">
      <formula>I530="RO"</formula>
    </cfRule>
    <cfRule type="expression" dxfId="72" priority="74">
      <formula>I530="HO"</formula>
    </cfRule>
  </conditionalFormatting>
  <conditionalFormatting sqref="K483:L483">
    <cfRule type="expression" dxfId="71" priority="71">
      <formula>#REF!="HO"</formula>
    </cfRule>
    <cfRule type="expression" dxfId="70" priority="72">
      <formula>#REF!="RO"</formula>
    </cfRule>
  </conditionalFormatting>
  <conditionalFormatting sqref="K484:L484">
    <cfRule type="expression" dxfId="69" priority="69">
      <formula>#REF!="HO"</formula>
    </cfRule>
    <cfRule type="expression" dxfId="68" priority="70">
      <formula>#REF!="RO"</formula>
    </cfRule>
  </conditionalFormatting>
  <conditionalFormatting sqref="K485:L485">
    <cfRule type="expression" dxfId="67" priority="67">
      <formula>#REF!="HO"</formula>
    </cfRule>
    <cfRule type="expression" dxfId="66" priority="68">
      <formula>#REF!="RO"</formula>
    </cfRule>
  </conditionalFormatting>
  <conditionalFormatting sqref="K486:L486">
    <cfRule type="expression" dxfId="65" priority="65">
      <formula>#REF!="HO"</formula>
    </cfRule>
    <cfRule type="expression" dxfId="64" priority="66">
      <formula>#REF!="RO"</formula>
    </cfRule>
  </conditionalFormatting>
  <conditionalFormatting sqref="M486">
    <cfRule type="expression" dxfId="63" priority="63">
      <formula>I486="RO"</formula>
    </cfRule>
    <cfRule type="expression" dxfId="62" priority="64">
      <formula>I486="HO"</formula>
    </cfRule>
  </conditionalFormatting>
  <conditionalFormatting sqref="M485">
    <cfRule type="expression" dxfId="61" priority="61">
      <formula>I485="RO"</formula>
    </cfRule>
    <cfRule type="expression" dxfId="60" priority="62">
      <formula>I485="HO"</formula>
    </cfRule>
  </conditionalFormatting>
  <conditionalFormatting sqref="N484">
    <cfRule type="expression" dxfId="59" priority="57">
      <formula>I484="RO"</formula>
    </cfRule>
    <cfRule type="expression" dxfId="58" priority="58">
      <formula>I484="HO"</formula>
    </cfRule>
  </conditionalFormatting>
  <conditionalFormatting sqref="M484">
    <cfRule type="expression" dxfId="57" priority="59">
      <formula>I484="RO"</formula>
    </cfRule>
    <cfRule type="expression" dxfId="56" priority="60">
      <formula>I484="HO"</formula>
    </cfRule>
  </conditionalFormatting>
  <conditionalFormatting sqref="N483">
    <cfRule type="expression" dxfId="55" priority="53">
      <formula>I483="RO"</formula>
    </cfRule>
    <cfRule type="expression" dxfId="54" priority="54">
      <formula>I483="HO"</formula>
    </cfRule>
  </conditionalFormatting>
  <conditionalFormatting sqref="M483">
    <cfRule type="expression" dxfId="53" priority="55">
      <formula>I483="RO"</formula>
    </cfRule>
    <cfRule type="expression" dxfId="52" priority="56">
      <formula>I483="HO"</formula>
    </cfRule>
  </conditionalFormatting>
  <conditionalFormatting sqref="I483">
    <cfRule type="cellIs" dxfId="51" priority="51" operator="equal">
      <formula>"RO"</formula>
    </cfRule>
    <cfRule type="cellIs" dxfId="50" priority="52" operator="equal">
      <formula>"HO"</formula>
    </cfRule>
  </conditionalFormatting>
  <conditionalFormatting sqref="I484">
    <cfRule type="cellIs" dxfId="49" priority="49" operator="equal">
      <formula>"RO"</formula>
    </cfRule>
    <cfRule type="cellIs" dxfId="48" priority="50" operator="equal">
      <formula>"HO"</formula>
    </cfRule>
  </conditionalFormatting>
  <conditionalFormatting sqref="I485">
    <cfRule type="cellIs" dxfId="47" priority="47" operator="equal">
      <formula>"RO"</formula>
    </cfRule>
    <cfRule type="cellIs" dxfId="46" priority="48" operator="equal">
      <formula>"HO"</formula>
    </cfRule>
  </conditionalFormatting>
  <conditionalFormatting sqref="I486">
    <cfRule type="cellIs" dxfId="45" priority="45" operator="equal">
      <formula>"RO"</formula>
    </cfRule>
    <cfRule type="cellIs" dxfId="44" priority="46" operator="equal">
      <formula>"HO"</formula>
    </cfRule>
  </conditionalFormatting>
  <conditionalFormatting sqref="N485">
    <cfRule type="expression" dxfId="43" priority="43">
      <formula>I485="RO"</formula>
    </cfRule>
    <cfRule type="expression" dxfId="42" priority="44">
      <formula>I485="HO"</formula>
    </cfRule>
  </conditionalFormatting>
  <conditionalFormatting sqref="N486">
    <cfRule type="expression" dxfId="41" priority="41">
      <formula>I486="RO"</formula>
    </cfRule>
    <cfRule type="expression" dxfId="40" priority="42">
      <formula>I486="HO"</formula>
    </cfRule>
  </conditionalFormatting>
  <conditionalFormatting sqref="P8:P530">
    <cfRule type="expression" dxfId="39" priority="39">
      <formula>#REF!="RO"</formula>
    </cfRule>
    <cfRule type="expression" dxfId="38" priority="40">
      <formula>#REF!="HO"</formula>
    </cfRule>
  </conditionalFormatting>
  <conditionalFormatting sqref="I509:I515">
    <cfRule type="cellIs" dxfId="37" priority="37" operator="equal">
      <formula>"RO"</formula>
    </cfRule>
    <cfRule type="cellIs" dxfId="36" priority="38" operator="equal">
      <formula>"HO"</formula>
    </cfRule>
  </conditionalFormatting>
  <conditionalFormatting sqref="L91">
    <cfRule type="expression" dxfId="35" priority="35">
      <formula>#REF!="HO"</formula>
    </cfRule>
    <cfRule type="expression" dxfId="34" priority="36">
      <formula>#REF!="RO"</formula>
    </cfRule>
  </conditionalFormatting>
  <conditionalFormatting sqref="L92">
    <cfRule type="expression" dxfId="33" priority="33">
      <formula>#REF!="HO"</formula>
    </cfRule>
    <cfRule type="expression" dxfId="32" priority="34">
      <formula>#REF!="RO"</formula>
    </cfRule>
  </conditionalFormatting>
  <conditionalFormatting sqref="L93">
    <cfRule type="expression" dxfId="31" priority="31">
      <formula>#REF!="HO"</formula>
    </cfRule>
    <cfRule type="expression" dxfId="30" priority="32">
      <formula>#REF!="RO"</formula>
    </cfRule>
  </conditionalFormatting>
  <conditionalFormatting sqref="L95">
    <cfRule type="expression" dxfId="29" priority="29">
      <formula>#REF!="HO"</formula>
    </cfRule>
    <cfRule type="expression" dxfId="28" priority="30">
      <formula>#REF!="RO"</formula>
    </cfRule>
  </conditionalFormatting>
  <conditionalFormatting sqref="N115">
    <cfRule type="expression" dxfId="27" priority="27">
      <formula>I115="RO"</formula>
    </cfRule>
    <cfRule type="expression" dxfId="26" priority="28">
      <formula>I115="HO"</formula>
    </cfRule>
  </conditionalFormatting>
  <conditionalFormatting sqref="N116">
    <cfRule type="expression" dxfId="25" priority="25">
      <formula>I116="RO"</formula>
    </cfRule>
    <cfRule type="expression" dxfId="24" priority="26">
      <formula>I116="HO"</formula>
    </cfRule>
  </conditionalFormatting>
  <conditionalFormatting sqref="N191">
    <cfRule type="expression" dxfId="23" priority="23">
      <formula>I191="RO"</formula>
    </cfRule>
    <cfRule type="expression" dxfId="22" priority="24">
      <formula>I191="HO"</formula>
    </cfRule>
  </conditionalFormatting>
  <conditionalFormatting sqref="N194">
    <cfRule type="expression" dxfId="21" priority="21">
      <formula>I194="RO"</formula>
    </cfRule>
    <cfRule type="expression" dxfId="20" priority="22">
      <formula>I194="HO"</formula>
    </cfRule>
  </conditionalFormatting>
  <conditionalFormatting sqref="N196">
    <cfRule type="expression" dxfId="19" priority="19">
      <formula>I196="RO"</formula>
    </cfRule>
    <cfRule type="expression" dxfId="18" priority="20">
      <formula>I196="HO"</formula>
    </cfRule>
  </conditionalFormatting>
  <conditionalFormatting sqref="N221">
    <cfRule type="expression" dxfId="17" priority="17">
      <formula>I221="RO"</formula>
    </cfRule>
    <cfRule type="expression" dxfId="16" priority="18">
      <formula>I221="HO"</formula>
    </cfRule>
  </conditionalFormatting>
  <conditionalFormatting sqref="N234">
    <cfRule type="expression" dxfId="15" priority="15">
      <formula>I234="RO"</formula>
    </cfRule>
    <cfRule type="expression" dxfId="14" priority="16">
      <formula>I234="HO"</formula>
    </cfRule>
  </conditionalFormatting>
  <conditionalFormatting sqref="N235">
    <cfRule type="expression" dxfId="13" priority="13">
      <formula>I235="RO"</formula>
    </cfRule>
    <cfRule type="expression" dxfId="12" priority="14">
      <formula>I235="HO"</formula>
    </cfRule>
  </conditionalFormatting>
  <conditionalFormatting sqref="N236">
    <cfRule type="expression" dxfId="11" priority="11">
      <formula>I236="RO"</formula>
    </cfRule>
    <cfRule type="expression" dxfId="10" priority="12">
      <formula>I236="HO"</formula>
    </cfRule>
  </conditionalFormatting>
  <conditionalFormatting sqref="N237">
    <cfRule type="expression" dxfId="9" priority="9">
      <formula>I237="RO"</formula>
    </cfRule>
    <cfRule type="expression" dxfId="8" priority="10">
      <formula>I237="HO"</formula>
    </cfRule>
  </conditionalFormatting>
  <conditionalFormatting sqref="M216">
    <cfRule type="expression" dxfId="7" priority="7">
      <formula>I216="RO"</formula>
    </cfRule>
    <cfRule type="expression" dxfId="6" priority="8">
      <formula>I216="HO"</formula>
    </cfRule>
  </conditionalFormatting>
  <conditionalFormatting sqref="L216">
    <cfRule type="expression" dxfId="5" priority="5">
      <formula>#REF!="HO"</formula>
    </cfRule>
    <cfRule type="expression" dxfId="4" priority="6">
      <formula>#REF!="RO"</formula>
    </cfRule>
  </conditionalFormatting>
  <conditionalFormatting sqref="N216">
    <cfRule type="expression" dxfId="3" priority="3">
      <formula>I216="RO"</formula>
    </cfRule>
    <cfRule type="expression" dxfId="2" priority="4">
      <formula>I216="HO"</formula>
    </cfRule>
  </conditionalFormatting>
  <conditionalFormatting sqref="N206">
    <cfRule type="expression" dxfId="1" priority="1">
      <formula>I206="RO"</formula>
    </cfRule>
    <cfRule type="expression" dxfId="0" priority="2">
      <formula>I206="HO"</formula>
    </cfRule>
  </conditionalFormatting>
  <printOptions horizontalCentered="1"/>
  <pageMargins left="0.35" right="0.28999999999999998" top="1.29" bottom="0.48" header="0.3" footer="0.26"/>
  <pageSetup scale="64" orientation="landscape" r:id="rId1"/>
  <headerFooter>
    <oddHeader>&amp;L&amp;G&amp;C&amp;"-,Bold"&amp;20JBVNL Cost Data Book&amp;"-,Regular"&amp;11
&amp;"-,Bold Italic"&amp;14Other States/DISCOMs References&amp;R
&amp;G</oddHeader>
    <oddFooter>&amp;L&amp;"-,Bold"&amp;12 2016-17&amp;RPage &amp;P of &amp;N</oddFooter>
  </headerFooter>
  <rowBreaks count="2" manualBreakCount="2">
    <brk id="38" min="1" max="50" man="1"/>
    <brk id="69" min="1" max="50"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80"/>
  <sheetViews>
    <sheetView zoomScaleNormal="100" workbookViewId="0">
      <pane ySplit="4" topLeftCell="A5" activePane="bottomLeft" state="frozen"/>
      <selection pane="bottomLeft" activeCell="D16" sqref="D16"/>
    </sheetView>
  </sheetViews>
  <sheetFormatPr defaultRowHeight="15" x14ac:dyDescent="0.25"/>
  <cols>
    <col min="1" max="1" width="4.7109375" style="2" customWidth="1"/>
    <col min="2" max="2" width="5.7109375" style="2" bestFit="1" customWidth="1"/>
    <col min="3" max="3" width="74.85546875" style="2" customWidth="1"/>
    <col min="4" max="4" width="12.28515625" style="249" bestFit="1" customWidth="1"/>
    <col min="5" max="5" width="14.140625" style="2" customWidth="1"/>
    <col min="6" max="6" width="10.42578125" style="2" bestFit="1" customWidth="1"/>
    <col min="7" max="16384" width="9.140625" style="2"/>
  </cols>
  <sheetData>
    <row r="1" spans="1:6" x14ac:dyDescent="0.25">
      <c r="A1"/>
    </row>
    <row r="2" spans="1:6" ht="52.5" customHeight="1" x14ac:dyDescent="0.25">
      <c r="B2" s="354" t="s">
        <v>376</v>
      </c>
      <c r="C2" s="355"/>
      <c r="D2" s="355"/>
      <c r="E2" s="355"/>
      <c r="F2" s="355"/>
    </row>
    <row r="3" spans="1:6" x14ac:dyDescent="0.25">
      <c r="B3" s="356" t="s">
        <v>114</v>
      </c>
      <c r="C3" s="359" t="s">
        <v>111</v>
      </c>
      <c r="D3" s="360"/>
      <c r="E3" s="358" t="s">
        <v>226</v>
      </c>
      <c r="F3" s="358"/>
    </row>
    <row r="4" spans="1:6" x14ac:dyDescent="0.25">
      <c r="B4" s="357"/>
      <c r="C4" s="361"/>
      <c r="D4" s="362"/>
      <c r="E4" s="32" t="s">
        <v>525</v>
      </c>
      <c r="F4" s="80" t="s">
        <v>526</v>
      </c>
    </row>
    <row r="5" spans="1:6" x14ac:dyDescent="0.25">
      <c r="B5" s="352">
        <v>1</v>
      </c>
      <c r="C5" s="363" t="s">
        <v>534</v>
      </c>
      <c r="D5" s="248" t="s">
        <v>523</v>
      </c>
      <c r="E5" s="157">
        <f>'33KV_Panther_232'!H39</f>
        <v>1775609.3747466591</v>
      </c>
      <c r="F5" s="157">
        <f>E5/100000</f>
        <v>17.75609374746659</v>
      </c>
    </row>
    <row r="6" spans="1:6" x14ac:dyDescent="0.25">
      <c r="B6" s="353"/>
      <c r="C6" s="351"/>
      <c r="D6" s="248" t="s">
        <v>524</v>
      </c>
      <c r="E6" s="157">
        <f>'33KV_Panther_232'!H40</f>
        <v>1784204.9674667004</v>
      </c>
      <c r="F6" s="157">
        <f t="shared" ref="F6:F80" si="0">E6/100000</f>
        <v>17.842049674667003</v>
      </c>
    </row>
    <row r="7" spans="1:6" x14ac:dyDescent="0.25">
      <c r="B7" s="352">
        <v>2</v>
      </c>
      <c r="C7" s="363" t="s">
        <v>535</v>
      </c>
      <c r="D7" s="248" t="s">
        <v>523</v>
      </c>
      <c r="E7" s="157">
        <f>'33KV_Wolf_150'!H39</f>
        <v>1521704.8205242143</v>
      </c>
      <c r="F7" s="157">
        <f t="shared" si="0"/>
        <v>15.217048205242143</v>
      </c>
    </row>
    <row r="8" spans="1:6" x14ac:dyDescent="0.25">
      <c r="B8" s="353"/>
      <c r="C8" s="351"/>
      <c r="D8" s="248" t="s">
        <v>524</v>
      </c>
      <c r="E8" s="157">
        <f>'33KV_Wolf_150'!H40</f>
        <v>1530300.4132442556</v>
      </c>
      <c r="F8" s="157">
        <f t="shared" si="0"/>
        <v>15.303004132442556</v>
      </c>
    </row>
    <row r="9" spans="1:6" x14ac:dyDescent="0.25">
      <c r="B9" s="352">
        <v>3</v>
      </c>
      <c r="C9" s="363" t="s">
        <v>536</v>
      </c>
      <c r="D9" s="248" t="s">
        <v>523</v>
      </c>
      <c r="E9" s="157">
        <f>'33KV_Dog_100'!H39</f>
        <v>1330988.1714687198</v>
      </c>
      <c r="F9" s="157">
        <f t="shared" si="0"/>
        <v>13.309881714687199</v>
      </c>
    </row>
    <row r="10" spans="1:6" x14ac:dyDescent="0.25">
      <c r="B10" s="353"/>
      <c r="C10" s="351"/>
      <c r="D10" s="248" t="s">
        <v>524</v>
      </c>
      <c r="E10" s="157">
        <f>'33KV_Dog_100'!H40</f>
        <v>1339583.7641887611</v>
      </c>
      <c r="F10" s="157">
        <f t="shared" si="0"/>
        <v>13.395837641887612</v>
      </c>
    </row>
    <row r="11" spans="1:6" x14ac:dyDescent="0.25">
      <c r="B11" s="352">
        <v>4</v>
      </c>
      <c r="C11" s="363" t="s">
        <v>537</v>
      </c>
      <c r="D11" s="248" t="s">
        <v>523</v>
      </c>
      <c r="E11" s="157">
        <f>'11KV_Dog_100sq'!H38</f>
        <v>699225.68872280163</v>
      </c>
      <c r="F11" s="157">
        <f t="shared" si="0"/>
        <v>6.9922568872280166</v>
      </c>
    </row>
    <row r="12" spans="1:6" x14ac:dyDescent="0.25">
      <c r="B12" s="353"/>
      <c r="C12" s="351"/>
      <c r="D12" s="248" t="s">
        <v>524</v>
      </c>
      <c r="E12" s="157">
        <f>'11KV_Dog_100sq'!H39</f>
        <v>702792.31913689326</v>
      </c>
      <c r="F12" s="157">
        <f t="shared" si="0"/>
        <v>7.0279231913689326</v>
      </c>
    </row>
    <row r="13" spans="1:6" x14ac:dyDescent="0.25">
      <c r="B13" s="352">
        <v>5</v>
      </c>
      <c r="C13" s="364" t="s">
        <v>538</v>
      </c>
      <c r="D13" s="248" t="s">
        <v>523</v>
      </c>
      <c r="E13" s="157">
        <f>'11KV_Racoon_80sq'!H38</f>
        <v>580041.87338412262</v>
      </c>
      <c r="F13" s="157">
        <f t="shared" si="0"/>
        <v>5.8004187338412265</v>
      </c>
    </row>
    <row r="14" spans="1:6" x14ac:dyDescent="0.25">
      <c r="B14" s="353"/>
      <c r="C14" s="365"/>
      <c r="D14" s="248" t="s">
        <v>524</v>
      </c>
      <c r="E14" s="157">
        <f>'11KV_Racoon_80sq'!H39</f>
        <v>583608.50379821414</v>
      </c>
      <c r="F14" s="157">
        <f t="shared" si="0"/>
        <v>5.8360850379821416</v>
      </c>
    </row>
    <row r="15" spans="1:6" x14ac:dyDescent="0.25">
      <c r="B15" s="352">
        <v>6</v>
      </c>
      <c r="C15" s="363" t="s">
        <v>539</v>
      </c>
      <c r="D15" s="248" t="s">
        <v>523</v>
      </c>
      <c r="E15" s="157">
        <f>'11KV_Weasel_34sq'!H38</f>
        <v>498456.3405575066</v>
      </c>
      <c r="F15" s="157">
        <f t="shared" si="0"/>
        <v>4.9845634055750656</v>
      </c>
    </row>
    <row r="16" spans="1:6" x14ac:dyDescent="0.25">
      <c r="B16" s="353"/>
      <c r="C16" s="351"/>
      <c r="D16" s="248" t="s">
        <v>524</v>
      </c>
      <c r="E16" s="157">
        <f>'11KV_Weasel_34sq'!H39</f>
        <v>502022.97097159817</v>
      </c>
      <c r="F16" s="157">
        <f t="shared" si="0"/>
        <v>5.0202297097159816</v>
      </c>
    </row>
    <row r="17" spans="2:6" x14ac:dyDescent="0.25">
      <c r="B17" s="352">
        <v>7</v>
      </c>
      <c r="C17" s="363" t="s">
        <v>696</v>
      </c>
      <c r="D17" s="248" t="s">
        <v>523</v>
      </c>
      <c r="E17" s="157">
        <f>'PSS 1x10 MVA'!H59</f>
        <v>17054540.55043583</v>
      </c>
      <c r="F17" s="157">
        <f t="shared" si="0"/>
        <v>170.54540550435829</v>
      </c>
    </row>
    <row r="18" spans="2:6" x14ac:dyDescent="0.25">
      <c r="B18" s="353"/>
      <c r="C18" s="351"/>
      <c r="D18" s="248" t="s">
        <v>524</v>
      </c>
      <c r="E18" s="157">
        <f>'PSS 1x10 MVA'!H60</f>
        <v>17332447.755988061</v>
      </c>
      <c r="F18" s="157">
        <f t="shared" si="0"/>
        <v>173.32447755988062</v>
      </c>
    </row>
    <row r="19" spans="2:6" x14ac:dyDescent="0.25">
      <c r="B19" s="352">
        <v>8</v>
      </c>
      <c r="C19" s="363" t="s">
        <v>694</v>
      </c>
      <c r="D19" s="248" t="s">
        <v>523</v>
      </c>
      <c r="E19" s="157">
        <f>'PSS 2x5 MVA'!H59</f>
        <v>19827191.529729303</v>
      </c>
      <c r="F19" s="157">
        <f t="shared" si="0"/>
        <v>198.27191529729302</v>
      </c>
    </row>
    <row r="20" spans="2:6" x14ac:dyDescent="0.25">
      <c r="B20" s="353"/>
      <c r="C20" s="351"/>
      <c r="D20" s="248" t="s">
        <v>524</v>
      </c>
      <c r="E20" s="157">
        <f>'PSS 2x5 MVA'!H60</f>
        <v>20149904.692875817</v>
      </c>
      <c r="F20" s="157">
        <f t="shared" si="0"/>
        <v>201.49904692875816</v>
      </c>
    </row>
    <row r="21" spans="2:6" x14ac:dyDescent="0.25">
      <c r="B21" s="352">
        <v>9</v>
      </c>
      <c r="C21" s="363" t="s">
        <v>307</v>
      </c>
      <c r="D21" s="248" t="s">
        <v>523</v>
      </c>
      <c r="E21" s="157">
        <f>'DSS 25 KVA'!H47</f>
        <v>210056.32443431928</v>
      </c>
      <c r="F21" s="157">
        <f t="shared" si="0"/>
        <v>2.100563244343193</v>
      </c>
    </row>
    <row r="22" spans="2:6" x14ac:dyDescent="0.25">
      <c r="B22" s="353"/>
      <c r="C22" s="351"/>
      <c r="D22" s="248" t="s">
        <v>524</v>
      </c>
      <c r="E22" s="157">
        <f>'DSS 25 KVA'!H48</f>
        <v>210593.54295890467</v>
      </c>
      <c r="F22" s="157">
        <f t="shared" si="0"/>
        <v>2.1059354295890467</v>
      </c>
    </row>
    <row r="23" spans="2:6" x14ac:dyDescent="0.25">
      <c r="B23" s="352">
        <v>10</v>
      </c>
      <c r="C23" s="363" t="s">
        <v>327</v>
      </c>
      <c r="D23" s="248" t="s">
        <v>523</v>
      </c>
      <c r="E23" s="157">
        <f>'DSS 63 KVA'!H49</f>
        <v>278984.94390903588</v>
      </c>
      <c r="F23" s="157">
        <f t="shared" si="0"/>
        <v>2.789849439090359</v>
      </c>
    </row>
    <row r="24" spans="2:6" x14ac:dyDescent="0.25">
      <c r="B24" s="353"/>
      <c r="C24" s="351"/>
      <c r="D24" s="248" t="s">
        <v>524</v>
      </c>
      <c r="E24" s="157">
        <f>'DSS 63 KVA'!H50</f>
        <v>279522.1624336213</v>
      </c>
      <c r="F24" s="157">
        <f t="shared" si="0"/>
        <v>2.7952216243362131</v>
      </c>
    </row>
    <row r="25" spans="2:6" x14ac:dyDescent="0.25">
      <c r="B25" s="352">
        <v>11</v>
      </c>
      <c r="C25" s="363" t="s">
        <v>330</v>
      </c>
      <c r="D25" s="248" t="s">
        <v>523</v>
      </c>
      <c r="E25" s="157">
        <f>'DSS 100 KVA'!H49</f>
        <v>310549.49265905767</v>
      </c>
      <c r="F25" s="157">
        <f t="shared" si="0"/>
        <v>3.1054949265905765</v>
      </c>
    </row>
    <row r="26" spans="2:6" x14ac:dyDescent="0.25">
      <c r="B26" s="353"/>
      <c r="C26" s="351"/>
      <c r="D26" s="248" t="s">
        <v>524</v>
      </c>
      <c r="E26" s="157">
        <f>'DSS 100 KVA'!H50</f>
        <v>311086.71118364308</v>
      </c>
      <c r="F26" s="157">
        <f t="shared" si="0"/>
        <v>3.1108671118364311</v>
      </c>
    </row>
    <row r="27" spans="2:6" x14ac:dyDescent="0.25">
      <c r="B27" s="352">
        <v>12</v>
      </c>
      <c r="C27" s="363" t="s">
        <v>333</v>
      </c>
      <c r="D27" s="248" t="s">
        <v>523</v>
      </c>
      <c r="E27" s="157">
        <f>'DSS 200 KVA'!H49</f>
        <v>418148.80461373401</v>
      </c>
      <c r="F27" s="157">
        <f t="shared" si="0"/>
        <v>4.18148804613734</v>
      </c>
    </row>
    <row r="28" spans="2:6" x14ac:dyDescent="0.25">
      <c r="B28" s="353"/>
      <c r="C28" s="351"/>
      <c r="D28" s="248" t="s">
        <v>524</v>
      </c>
      <c r="E28" s="157">
        <f>'DSS 200 KVA'!H50</f>
        <v>418686.02313831943</v>
      </c>
      <c r="F28" s="157">
        <f t="shared" si="0"/>
        <v>4.1868602313831946</v>
      </c>
    </row>
    <row r="29" spans="2:6" x14ac:dyDescent="0.25">
      <c r="B29" s="352">
        <v>13</v>
      </c>
      <c r="C29" s="363" t="s">
        <v>513</v>
      </c>
      <c r="D29" s="248" t="s">
        <v>523</v>
      </c>
      <c r="E29" s="157">
        <f>'DSS 315 KVA'!H49</f>
        <v>540852.7806340371</v>
      </c>
      <c r="F29" s="157">
        <f t="shared" si="0"/>
        <v>5.4085278063403708</v>
      </c>
    </row>
    <row r="30" spans="2:6" x14ac:dyDescent="0.25">
      <c r="B30" s="353"/>
      <c r="C30" s="351"/>
      <c r="D30" s="248" t="s">
        <v>524</v>
      </c>
      <c r="E30" s="157">
        <f>'DSS 315 KVA'!H50</f>
        <v>541389.99915862246</v>
      </c>
      <c r="F30" s="157">
        <f t="shared" si="0"/>
        <v>5.4138999915862245</v>
      </c>
    </row>
    <row r="31" spans="2:6" x14ac:dyDescent="0.25">
      <c r="B31" s="352">
        <v>14</v>
      </c>
      <c r="C31" s="363" t="s">
        <v>371</v>
      </c>
      <c r="D31" s="248" t="s">
        <v>523</v>
      </c>
      <c r="E31" s="157">
        <f>'DSS 500 KVA'!H41</f>
        <v>803484.68427957082</v>
      </c>
      <c r="F31" s="157">
        <f t="shared" si="0"/>
        <v>8.0348468427957087</v>
      </c>
    </row>
    <row r="32" spans="2:6" x14ac:dyDescent="0.25">
      <c r="B32" s="353"/>
      <c r="C32" s="351"/>
      <c r="D32" s="248" t="s">
        <v>524</v>
      </c>
      <c r="E32" s="157">
        <f>'DSS 500 KVA'!H42</f>
        <v>804021.9028041563</v>
      </c>
      <c r="F32" s="157">
        <f t="shared" si="0"/>
        <v>8.0402190280415624</v>
      </c>
    </row>
    <row r="33" spans="2:6" x14ac:dyDescent="0.25">
      <c r="B33" s="352">
        <v>15</v>
      </c>
      <c r="C33" s="363" t="s">
        <v>337</v>
      </c>
      <c r="D33" s="248" t="s">
        <v>523</v>
      </c>
      <c r="E33" s="157">
        <f>LT_Weasel_34sq!H33</f>
        <v>569989.21921553102</v>
      </c>
      <c r="F33" s="157">
        <f t="shared" si="0"/>
        <v>5.6998921921553105</v>
      </c>
    </row>
    <row r="34" spans="2:6" x14ac:dyDescent="0.25">
      <c r="B34" s="353"/>
      <c r="C34" s="351"/>
      <c r="D34" s="248" t="s">
        <v>524</v>
      </c>
      <c r="E34" s="157">
        <f>LT_Weasel_34sq!H34</f>
        <v>573817.32014556532</v>
      </c>
      <c r="F34" s="157">
        <f t="shared" si="0"/>
        <v>5.7381732014556528</v>
      </c>
    </row>
    <row r="35" spans="2:6" x14ac:dyDescent="0.25">
      <c r="B35" s="352">
        <v>16</v>
      </c>
      <c r="C35" s="363" t="s">
        <v>346</v>
      </c>
      <c r="D35" s="248" t="s">
        <v>523</v>
      </c>
      <c r="E35" s="157">
        <f>LT_Rabbit_55sq!H33</f>
        <v>616815.7656873879</v>
      </c>
      <c r="F35" s="157">
        <f t="shared" si="0"/>
        <v>6.1681576568738787</v>
      </c>
    </row>
    <row r="36" spans="2:6" x14ac:dyDescent="0.25">
      <c r="B36" s="353"/>
      <c r="C36" s="351"/>
      <c r="D36" s="248" t="s">
        <v>524</v>
      </c>
      <c r="E36" s="157">
        <f>LT_Rabbit_55sq!H34</f>
        <v>620643.8666174222</v>
      </c>
      <c r="F36" s="157">
        <f t="shared" si="0"/>
        <v>6.2064386661742219</v>
      </c>
    </row>
    <row r="37" spans="2:6" x14ac:dyDescent="0.25">
      <c r="B37" s="352">
        <v>17</v>
      </c>
      <c r="C37" s="363" t="s">
        <v>692</v>
      </c>
      <c r="D37" s="248" t="s">
        <v>523</v>
      </c>
      <c r="E37" s="157">
        <f>'11KV 95sq mm OH AB'!H26</f>
        <v>925331.61396232597</v>
      </c>
      <c r="F37" s="157">
        <f t="shared" ref="F37:F44" si="1">E37/100000</f>
        <v>9.2533161396232604</v>
      </c>
    </row>
    <row r="38" spans="2:6" x14ac:dyDescent="0.25">
      <c r="B38" s="353"/>
      <c r="C38" s="351"/>
      <c r="D38" s="248" t="s">
        <v>524</v>
      </c>
      <c r="E38" s="157">
        <f>'11KV 95sq mm OH AB'!H27</f>
        <v>929159.71489236027</v>
      </c>
      <c r="F38" s="157">
        <f t="shared" si="1"/>
        <v>9.2915971489236018</v>
      </c>
    </row>
    <row r="39" spans="2:6" x14ac:dyDescent="0.25">
      <c r="B39" s="352">
        <v>18</v>
      </c>
      <c r="C39" s="363" t="s">
        <v>693</v>
      </c>
      <c r="D39" s="248" t="s">
        <v>523</v>
      </c>
      <c r="E39" s="157">
        <f>'11KV 50 sq mm OH AB'!H26</f>
        <v>743314.60144923185</v>
      </c>
      <c r="F39" s="157">
        <f t="shared" si="1"/>
        <v>7.4331460144923183</v>
      </c>
    </row>
    <row r="40" spans="2:6" x14ac:dyDescent="0.25">
      <c r="B40" s="353"/>
      <c r="C40" s="351"/>
      <c r="D40" s="248" t="s">
        <v>524</v>
      </c>
      <c r="E40" s="157">
        <f>'11KV 50 sq mm OH AB'!H27</f>
        <v>747142.70237926603</v>
      </c>
      <c r="F40" s="157">
        <f t="shared" si="1"/>
        <v>7.4714270237926605</v>
      </c>
    </row>
    <row r="41" spans="2:6" x14ac:dyDescent="0.25">
      <c r="B41" s="352">
        <v>19</v>
      </c>
      <c r="C41" s="363" t="s">
        <v>632</v>
      </c>
      <c r="D41" s="248" t="s">
        <v>523</v>
      </c>
      <c r="E41" s="157">
        <f>'LT 95sq mm OH AB'!H30</f>
        <v>666334.82385799673</v>
      </c>
      <c r="F41" s="157">
        <f t="shared" si="1"/>
        <v>6.6633482385799674</v>
      </c>
    </row>
    <row r="42" spans="2:6" x14ac:dyDescent="0.25">
      <c r="B42" s="353"/>
      <c r="C42" s="351"/>
      <c r="D42" s="248" t="s">
        <v>524</v>
      </c>
      <c r="E42" s="157">
        <f>'LT 95sq mm OH AB'!H31</f>
        <v>671119.95002053969</v>
      </c>
      <c r="F42" s="157">
        <f t="shared" si="1"/>
        <v>6.7111995002053968</v>
      </c>
    </row>
    <row r="43" spans="2:6" x14ac:dyDescent="0.25">
      <c r="B43" s="352">
        <v>20</v>
      </c>
      <c r="C43" s="363" t="s">
        <v>633</v>
      </c>
      <c r="D43" s="248" t="s">
        <v>523</v>
      </c>
      <c r="E43" s="157">
        <f>'LT 50sq mm OH AB'!H30</f>
        <v>475592.73278270924</v>
      </c>
      <c r="F43" s="157">
        <f t="shared" si="1"/>
        <v>4.7559273278270924</v>
      </c>
    </row>
    <row r="44" spans="2:6" x14ac:dyDescent="0.25">
      <c r="B44" s="353"/>
      <c r="C44" s="351"/>
      <c r="D44" s="248" t="s">
        <v>524</v>
      </c>
      <c r="E44" s="157">
        <f>'LT 50sq mm OH AB'!H31</f>
        <v>480377.85894525208</v>
      </c>
      <c r="F44" s="157">
        <f t="shared" si="1"/>
        <v>4.8037785894525209</v>
      </c>
    </row>
    <row r="45" spans="2:6" x14ac:dyDescent="0.25">
      <c r="B45" s="352">
        <v>21</v>
      </c>
      <c r="C45" s="350" t="s">
        <v>856</v>
      </c>
      <c r="D45" s="248" t="s">
        <v>523</v>
      </c>
      <c r="E45" s="157">
        <f>'33kv 400sq mm D'!H19</f>
        <v>9607510.4985908642</v>
      </c>
      <c r="F45" s="157">
        <f>E45/100000</f>
        <v>96.075104985908638</v>
      </c>
    </row>
    <row r="46" spans="2:6" x14ac:dyDescent="0.25">
      <c r="B46" s="353"/>
      <c r="C46" s="351"/>
      <c r="D46" s="248" t="s">
        <v>524</v>
      </c>
      <c r="E46" s="157">
        <f>'33kv 400sq mm D'!H20</f>
        <v>10536510.498590864</v>
      </c>
      <c r="F46" s="157">
        <f>E46/100000</f>
        <v>105.36510498590864</v>
      </c>
    </row>
    <row r="47" spans="2:6" x14ac:dyDescent="0.25">
      <c r="B47" s="352">
        <v>22</v>
      </c>
      <c r="C47" s="350" t="s">
        <v>846</v>
      </c>
      <c r="D47" s="248" t="s">
        <v>523</v>
      </c>
      <c r="E47" s="157">
        <f>'33kv 300sq mm D'!H19</f>
        <v>7208719.3781209607</v>
      </c>
      <c r="F47" s="157">
        <f>E47/100000</f>
        <v>72.087193781209606</v>
      </c>
    </row>
    <row r="48" spans="2:6" x14ac:dyDescent="0.25">
      <c r="B48" s="353"/>
      <c r="C48" s="351"/>
      <c r="D48" s="248" t="s">
        <v>524</v>
      </c>
      <c r="E48" s="157">
        <f>'33kv 300sq mm D'!H20</f>
        <v>8137719.3781209607</v>
      </c>
      <c r="F48" s="157">
        <f>E48/100000</f>
        <v>81.377193781209613</v>
      </c>
    </row>
    <row r="49" spans="2:6" x14ac:dyDescent="0.25">
      <c r="B49" s="352">
        <v>23</v>
      </c>
      <c r="C49" s="350" t="s">
        <v>847</v>
      </c>
      <c r="D49" s="248" t="s">
        <v>523</v>
      </c>
      <c r="E49" s="157">
        <f>'33kv 185sq mm D'!H19</f>
        <v>5834150.8651557136</v>
      </c>
      <c r="F49" s="157">
        <f>E49/100000</f>
        <v>58.341508651557135</v>
      </c>
    </row>
    <row r="50" spans="2:6" x14ac:dyDescent="0.25">
      <c r="B50" s="353"/>
      <c r="C50" s="351"/>
      <c r="D50" s="248" t="s">
        <v>524</v>
      </c>
      <c r="E50" s="157">
        <f>'33kv 185sq mm D'!H20</f>
        <v>6593150.8651557136</v>
      </c>
      <c r="F50" s="157">
        <f t="shared" ref="F50:F58" si="2">E50/100000</f>
        <v>65.931508651557138</v>
      </c>
    </row>
    <row r="51" spans="2:6" x14ac:dyDescent="0.25">
      <c r="B51" s="352">
        <v>24</v>
      </c>
      <c r="C51" s="350" t="s">
        <v>857</v>
      </c>
      <c r="D51" s="248" t="s">
        <v>523</v>
      </c>
      <c r="E51" s="157">
        <f>'11kv 400sq mm D'!H19</f>
        <v>6471604.7784781456</v>
      </c>
      <c r="F51" s="157">
        <f t="shared" si="2"/>
        <v>64.716047784781452</v>
      </c>
    </row>
    <row r="52" spans="2:6" x14ac:dyDescent="0.25">
      <c r="B52" s="353"/>
      <c r="C52" s="351"/>
      <c r="D52" s="248" t="s">
        <v>524</v>
      </c>
      <c r="E52" s="157">
        <f>'11kv 400sq mm D'!H20</f>
        <v>7400604.7784781456</v>
      </c>
      <c r="F52" s="157">
        <f t="shared" si="2"/>
        <v>74.006047784781458</v>
      </c>
    </row>
    <row r="53" spans="2:6" x14ac:dyDescent="0.25">
      <c r="B53" s="352">
        <v>25</v>
      </c>
      <c r="C53" s="350" t="s">
        <v>848</v>
      </c>
      <c r="D53" s="248" t="s">
        <v>523</v>
      </c>
      <c r="E53" s="157">
        <f>'11kv 300sq mm D'!H19</f>
        <v>5457035.2861337531</v>
      </c>
      <c r="F53" s="157">
        <f t="shared" si="2"/>
        <v>54.570352861337533</v>
      </c>
    </row>
    <row r="54" spans="2:6" x14ac:dyDescent="0.25">
      <c r="B54" s="353"/>
      <c r="C54" s="351"/>
      <c r="D54" s="248" t="s">
        <v>524</v>
      </c>
      <c r="E54" s="157">
        <f>'11kv 300sq mm D'!H20</f>
        <v>6386035.2861337531</v>
      </c>
      <c r="F54" s="157">
        <f t="shared" si="2"/>
        <v>63.860352861337532</v>
      </c>
    </row>
    <row r="55" spans="2:6" x14ac:dyDescent="0.25">
      <c r="B55" s="352">
        <v>26</v>
      </c>
      <c r="C55" s="350" t="s">
        <v>849</v>
      </c>
      <c r="D55" s="248" t="s">
        <v>523</v>
      </c>
      <c r="E55" s="157">
        <f>'11kv 185sq mm D'!H19</f>
        <v>4335031.0346642267</v>
      </c>
      <c r="F55" s="157">
        <f t="shared" si="2"/>
        <v>43.350310346642267</v>
      </c>
    </row>
    <row r="56" spans="2:6" x14ac:dyDescent="0.25">
      <c r="B56" s="353"/>
      <c r="C56" s="351"/>
      <c r="D56" s="248" t="s">
        <v>524</v>
      </c>
      <c r="E56" s="157">
        <f>'11kv 185sq mm D'!H20</f>
        <v>5094031.0346642267</v>
      </c>
      <c r="F56" s="157">
        <f t="shared" si="2"/>
        <v>50.940310346642264</v>
      </c>
    </row>
    <row r="57" spans="2:6" x14ac:dyDescent="0.25">
      <c r="B57" s="352">
        <v>27</v>
      </c>
      <c r="C57" s="363" t="s">
        <v>883</v>
      </c>
      <c r="D57" s="248" t="s">
        <v>523</v>
      </c>
      <c r="E57" s="157">
        <f>'33kv 400sq mm'!H19</f>
        <v>5098001.4333825251</v>
      </c>
      <c r="F57" s="157">
        <f t="shared" si="2"/>
        <v>50.980014333825252</v>
      </c>
    </row>
    <row r="58" spans="2:6" x14ac:dyDescent="0.25">
      <c r="B58" s="353"/>
      <c r="C58" s="351"/>
      <c r="D58" s="248" t="s">
        <v>524</v>
      </c>
      <c r="E58" s="157">
        <f>'33kv 400sq mm'!H20</f>
        <v>5562501.4333825251</v>
      </c>
      <c r="F58" s="157">
        <f t="shared" si="2"/>
        <v>55.625014333825249</v>
      </c>
    </row>
    <row r="59" spans="2:6" x14ac:dyDescent="0.25">
      <c r="B59" s="352">
        <v>28</v>
      </c>
      <c r="C59" s="363" t="s">
        <v>827</v>
      </c>
      <c r="D59" s="248" t="s">
        <v>523</v>
      </c>
      <c r="E59" s="157">
        <f>'33kv 300sq mm'!H19</f>
        <v>3872638.3731475705</v>
      </c>
      <c r="F59" s="157">
        <f t="shared" si="0"/>
        <v>38.726383731475707</v>
      </c>
    </row>
    <row r="60" spans="2:6" x14ac:dyDescent="0.25">
      <c r="B60" s="353"/>
      <c r="C60" s="351"/>
      <c r="D60" s="248" t="s">
        <v>524</v>
      </c>
      <c r="E60" s="157">
        <f>'33kv 300sq mm'!H20</f>
        <v>4337138.3731475705</v>
      </c>
      <c r="F60" s="157">
        <f t="shared" si="0"/>
        <v>43.371383731475703</v>
      </c>
    </row>
    <row r="61" spans="2:6" x14ac:dyDescent="0.25">
      <c r="B61" s="352">
        <v>29</v>
      </c>
      <c r="C61" s="363" t="s">
        <v>828</v>
      </c>
      <c r="D61" s="248" t="s">
        <v>523</v>
      </c>
      <c r="E61" s="157">
        <f>'33kv 185sq mm'!H19</f>
        <v>3176342.8666649498</v>
      </c>
      <c r="F61" s="157">
        <f t="shared" si="0"/>
        <v>31.763428666649499</v>
      </c>
    </row>
    <row r="62" spans="2:6" x14ac:dyDescent="0.25">
      <c r="B62" s="353"/>
      <c r="C62" s="351"/>
      <c r="D62" s="248" t="s">
        <v>524</v>
      </c>
      <c r="E62" s="157">
        <f>'33kv 185sq mm'!H20</f>
        <v>3555842.8666649498</v>
      </c>
      <c r="F62" s="157">
        <f t="shared" si="0"/>
        <v>35.558428666649498</v>
      </c>
    </row>
    <row r="63" spans="2:6" x14ac:dyDescent="0.25">
      <c r="B63" s="352">
        <v>30</v>
      </c>
      <c r="C63" s="363" t="s">
        <v>878</v>
      </c>
      <c r="D63" s="248" t="s">
        <v>523</v>
      </c>
      <c r="E63" s="157">
        <f>'11kv 400sq mm'!H19</f>
        <v>3297032.9483261658</v>
      </c>
      <c r="F63" s="157">
        <f t="shared" ref="F63:F64" si="3">E63/100000</f>
        <v>32.970329483261658</v>
      </c>
    </row>
    <row r="64" spans="2:6" x14ac:dyDescent="0.25">
      <c r="B64" s="353"/>
      <c r="C64" s="351"/>
      <c r="D64" s="248" t="s">
        <v>524</v>
      </c>
      <c r="E64" s="157">
        <f>'11kv 400sq mm'!H20</f>
        <v>3761532.9483261658</v>
      </c>
      <c r="F64" s="157">
        <f t="shared" si="3"/>
        <v>37.615329483261661</v>
      </c>
    </row>
    <row r="65" spans="2:6" x14ac:dyDescent="0.25">
      <c r="B65" s="352">
        <v>31</v>
      </c>
      <c r="C65" s="363" t="s">
        <v>829</v>
      </c>
      <c r="D65" s="248" t="s">
        <v>523</v>
      </c>
      <c r="E65" s="157">
        <f>'11kv 300sq mm'!H19</f>
        <v>2781088.2021539696</v>
      </c>
      <c r="F65" s="157">
        <f t="shared" si="0"/>
        <v>27.810882021539694</v>
      </c>
    </row>
    <row r="66" spans="2:6" x14ac:dyDescent="0.25">
      <c r="B66" s="353"/>
      <c r="C66" s="351"/>
      <c r="D66" s="248" t="s">
        <v>524</v>
      </c>
      <c r="E66" s="157">
        <f>'11kv 300sq mm'!H20</f>
        <v>3245588.2021539696</v>
      </c>
      <c r="F66" s="157">
        <f t="shared" si="0"/>
        <v>32.455882021539693</v>
      </c>
    </row>
    <row r="67" spans="2:6" x14ac:dyDescent="0.25">
      <c r="B67" s="352">
        <v>32</v>
      </c>
      <c r="C67" s="363" t="s">
        <v>830</v>
      </c>
      <c r="D67" s="248" t="s">
        <v>523</v>
      </c>
      <c r="E67" s="157">
        <f>'11kv 185sq mm'!H19</f>
        <v>2218522.9514192063</v>
      </c>
      <c r="F67" s="157">
        <f t="shared" si="0"/>
        <v>22.185229514192063</v>
      </c>
    </row>
    <row r="68" spans="2:6" x14ac:dyDescent="0.25">
      <c r="B68" s="353"/>
      <c r="C68" s="351"/>
      <c r="D68" s="248" t="s">
        <v>524</v>
      </c>
      <c r="E68" s="157">
        <f>'11kv 185sq mm'!H20</f>
        <v>2598022.9514192063</v>
      </c>
      <c r="F68" s="157">
        <f t="shared" si="0"/>
        <v>25.980229514192064</v>
      </c>
    </row>
    <row r="69" spans="2:6" x14ac:dyDescent="0.25">
      <c r="B69" s="352">
        <v>33</v>
      </c>
      <c r="C69" s="363" t="s">
        <v>835</v>
      </c>
      <c r="D69" s="248" t="s">
        <v>523</v>
      </c>
      <c r="E69" s="157">
        <f>'33kv 300sq mm Trench'!H19</f>
        <v>5520513.746295142</v>
      </c>
      <c r="F69" s="157">
        <f t="shared" si="0"/>
        <v>55.20513746295142</v>
      </c>
    </row>
    <row r="70" spans="2:6" x14ac:dyDescent="0.25">
      <c r="B70" s="353"/>
      <c r="C70" s="351"/>
      <c r="D70" s="248" t="s">
        <v>524</v>
      </c>
      <c r="E70" s="157">
        <f>'33kv 300sq mm Trench'!H20</f>
        <v>5549313.746295142</v>
      </c>
      <c r="F70" s="157">
        <f t="shared" si="0"/>
        <v>55.493137462951417</v>
      </c>
    </row>
    <row r="71" spans="2:6" x14ac:dyDescent="0.25">
      <c r="B71" s="352">
        <v>34</v>
      </c>
      <c r="C71" s="363" t="s">
        <v>836</v>
      </c>
      <c r="D71" s="248" t="s">
        <v>523</v>
      </c>
      <c r="E71" s="157">
        <f>'33kv 185sq mm Trench'!H19</f>
        <v>4610724.1151557136</v>
      </c>
      <c r="F71" s="157">
        <f t="shared" si="0"/>
        <v>46.107241151557133</v>
      </c>
    </row>
    <row r="72" spans="2:6" x14ac:dyDescent="0.25">
      <c r="B72" s="353"/>
      <c r="C72" s="351"/>
      <c r="D72" s="248" t="s">
        <v>524</v>
      </c>
      <c r="E72" s="157">
        <f>'33kv 185sq mm Trench'!H20</f>
        <v>4639524.1151557136</v>
      </c>
      <c r="F72" s="157">
        <f t="shared" si="0"/>
        <v>46.395241151557137</v>
      </c>
    </row>
    <row r="73" spans="2:6" x14ac:dyDescent="0.25">
      <c r="B73" s="352">
        <v>35</v>
      </c>
      <c r="C73" s="363" t="s">
        <v>837</v>
      </c>
      <c r="D73" s="248" t="s">
        <v>523</v>
      </c>
      <c r="E73" s="157">
        <f>'11kv 300sq mm Trench'!H19</f>
        <v>3326214.7861337536</v>
      </c>
      <c r="F73" s="157">
        <f t="shared" si="0"/>
        <v>33.262147861337539</v>
      </c>
    </row>
    <row r="74" spans="2:6" x14ac:dyDescent="0.25">
      <c r="B74" s="353"/>
      <c r="C74" s="351"/>
      <c r="D74" s="248" t="s">
        <v>524</v>
      </c>
      <c r="E74" s="157">
        <f>'11kv 300sq mm Trench'!H20</f>
        <v>3355014.7861337536</v>
      </c>
      <c r="F74" s="157">
        <f t="shared" si="0"/>
        <v>33.550147861337535</v>
      </c>
    </row>
    <row r="75" spans="2:6" x14ac:dyDescent="0.25">
      <c r="B75" s="352">
        <v>36</v>
      </c>
      <c r="C75" s="363" t="s">
        <v>838</v>
      </c>
      <c r="D75" s="248" t="s">
        <v>523</v>
      </c>
      <c r="E75" s="157">
        <f>'11kv 185sq mm Trench'!H19</f>
        <v>2695084.2846642267</v>
      </c>
      <c r="F75" s="157">
        <f t="shared" si="0"/>
        <v>26.950842846642267</v>
      </c>
    </row>
    <row r="76" spans="2:6" x14ac:dyDescent="0.25">
      <c r="B76" s="353"/>
      <c r="C76" s="351"/>
      <c r="D76" s="248" t="s">
        <v>524</v>
      </c>
      <c r="E76" s="157">
        <f>'11kv 185sq mm Trench'!H20</f>
        <v>2723884.2846642267</v>
      </c>
      <c r="F76" s="157">
        <f t="shared" si="0"/>
        <v>27.238842846642267</v>
      </c>
    </row>
    <row r="77" spans="2:6" x14ac:dyDescent="0.25">
      <c r="B77" s="352">
        <v>37</v>
      </c>
      <c r="C77" s="350" t="s">
        <v>822</v>
      </c>
      <c r="D77" s="248" t="s">
        <v>523</v>
      </c>
      <c r="E77" s="157">
        <f>'33KV DP Suspension Line'!H23</f>
        <v>2140977.8831379139</v>
      </c>
      <c r="F77" s="157">
        <f t="shared" si="0"/>
        <v>21.409778831379139</v>
      </c>
    </row>
    <row r="78" spans="2:6" x14ac:dyDescent="0.25">
      <c r="B78" s="353"/>
      <c r="C78" s="351"/>
      <c r="D78" s="248" t="s">
        <v>524</v>
      </c>
      <c r="E78" s="157">
        <f>'33KV DP Suspension Line'!H24</f>
        <v>2178236.3971133213</v>
      </c>
      <c r="F78" s="157">
        <f t="shared" si="0"/>
        <v>21.782363971133215</v>
      </c>
    </row>
    <row r="79" spans="2:6" x14ac:dyDescent="0.25">
      <c r="B79" s="41">
        <v>38</v>
      </c>
      <c r="C79" s="366" t="s">
        <v>640</v>
      </c>
      <c r="D79" s="366"/>
      <c r="E79" s="157">
        <f>'1ph APL Service Connection'!G20</f>
        <v>4992.125</v>
      </c>
      <c r="F79" s="157">
        <f t="shared" si="0"/>
        <v>4.992125E-2</v>
      </c>
    </row>
    <row r="80" spans="2:6" x14ac:dyDescent="0.25">
      <c r="B80" s="41">
        <v>39</v>
      </c>
      <c r="C80" s="366" t="s">
        <v>639</v>
      </c>
      <c r="D80" s="366"/>
      <c r="E80" s="157">
        <f>'3ph Service Connection'!G17</f>
        <v>19733.205524902638</v>
      </c>
      <c r="F80" s="157">
        <f t="shared" si="0"/>
        <v>0.19733205524902639</v>
      </c>
    </row>
  </sheetData>
  <mergeCells count="80">
    <mergeCell ref="B63:B64"/>
    <mergeCell ref="C63:C64"/>
    <mergeCell ref="B75:B76"/>
    <mergeCell ref="C75:C76"/>
    <mergeCell ref="B69:B70"/>
    <mergeCell ref="C69:C70"/>
    <mergeCell ref="B71:B72"/>
    <mergeCell ref="C71:C72"/>
    <mergeCell ref="B73:B74"/>
    <mergeCell ref="C73:C74"/>
    <mergeCell ref="B59:B60"/>
    <mergeCell ref="B61:B62"/>
    <mergeCell ref="C39:C40"/>
    <mergeCell ref="B27:B28"/>
    <mergeCell ref="C25:C26"/>
    <mergeCell ref="C27:C28"/>
    <mergeCell ref="B57:B58"/>
    <mergeCell ref="C57:C58"/>
    <mergeCell ref="B55:B56"/>
    <mergeCell ref="B45:B46"/>
    <mergeCell ref="B47:B48"/>
    <mergeCell ref="B49:B50"/>
    <mergeCell ref="B51:B52"/>
    <mergeCell ref="B53:B54"/>
    <mergeCell ref="C80:D80"/>
    <mergeCell ref="B43:B44"/>
    <mergeCell ref="C29:C30"/>
    <mergeCell ref="B29:B30"/>
    <mergeCell ref="C79:D79"/>
    <mergeCell ref="B65:B66"/>
    <mergeCell ref="B67:B68"/>
    <mergeCell ref="B37:B38"/>
    <mergeCell ref="B39:B40"/>
    <mergeCell ref="B41:B42"/>
    <mergeCell ref="B31:B32"/>
    <mergeCell ref="B33:B34"/>
    <mergeCell ref="B35:B36"/>
    <mergeCell ref="C59:C60"/>
    <mergeCell ref="C61:C62"/>
    <mergeCell ref="C65:C66"/>
    <mergeCell ref="B17:B18"/>
    <mergeCell ref="B19:B20"/>
    <mergeCell ref="B21:B22"/>
    <mergeCell ref="B23:B24"/>
    <mergeCell ref="B25:B26"/>
    <mergeCell ref="B7:B8"/>
    <mergeCell ref="B9:B10"/>
    <mergeCell ref="B11:B12"/>
    <mergeCell ref="B13:B14"/>
    <mergeCell ref="B15:B16"/>
    <mergeCell ref="C21:C22"/>
    <mergeCell ref="C23:C24"/>
    <mergeCell ref="C67:C68"/>
    <mergeCell ref="C37:C38"/>
    <mergeCell ref="C41:C42"/>
    <mergeCell ref="C43:C44"/>
    <mergeCell ref="C33:C34"/>
    <mergeCell ref="C35:C36"/>
    <mergeCell ref="C45:C46"/>
    <mergeCell ref="C47:C48"/>
    <mergeCell ref="C49:C50"/>
    <mergeCell ref="C51:C52"/>
    <mergeCell ref="C53:C54"/>
    <mergeCell ref="C55:C56"/>
    <mergeCell ref="C77:C78"/>
    <mergeCell ref="B77:B78"/>
    <mergeCell ref="B2:F2"/>
    <mergeCell ref="B3:B4"/>
    <mergeCell ref="E3:F3"/>
    <mergeCell ref="C3:D4"/>
    <mergeCell ref="C5:C6"/>
    <mergeCell ref="B5:B6"/>
    <mergeCell ref="C7:C8"/>
    <mergeCell ref="C9:C10"/>
    <mergeCell ref="C11:C12"/>
    <mergeCell ref="C13:C14"/>
    <mergeCell ref="C31:C32"/>
    <mergeCell ref="C15:C16"/>
    <mergeCell ref="C17:C18"/>
    <mergeCell ref="C19:C20"/>
  </mergeCells>
  <printOptions horizontalCentered="1"/>
  <pageMargins left="0.34" right="0.26" top="1.02" bottom="0.62" header="0.36" footer="0.39"/>
  <pageSetup paperSize="9" scale="75" orientation="portrait" r:id="rId1"/>
  <headerFooter>
    <oddHeader>&amp;L&amp;G&amp;C&amp;"-,Bold"&amp;20JBVNL Cost Data Book&amp;"-,Regular"&amp;11
&amp;"-,Bold Italic"&amp;14Unit Rate Costing Summary Sheet&amp;R
&amp;G</oddHeader>
    <oddFooter>&amp;L&amp;"-,Bold"&amp;14 2016-17&amp;RPage &amp;P of &amp;N</oddFooter>
  </headerFooter>
  <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499984740745262"/>
  </sheetPr>
  <dimension ref="A1:W84"/>
  <sheetViews>
    <sheetView zoomScaleNormal="100" workbookViewId="0">
      <pane xSplit="4" ySplit="5" topLeftCell="E6" activePane="bottomRight" state="frozen"/>
      <selection pane="topRight" activeCell="E1" sqref="E1"/>
      <selection pane="bottomLeft" activeCell="A5" sqref="A5"/>
      <selection pane="bottomRight" activeCell="E6" sqref="E6"/>
    </sheetView>
  </sheetViews>
  <sheetFormatPr defaultRowHeight="15" x14ac:dyDescent="0.25"/>
  <cols>
    <col min="1" max="1" width="5.7109375" style="7" customWidth="1"/>
    <col min="2" max="2" width="5.5703125" style="14" customWidth="1"/>
    <col min="3" max="3" width="45.7109375" style="139" customWidth="1"/>
    <col min="4" max="4" width="12.7109375" style="16" bestFit="1" customWidth="1"/>
    <col min="5" max="5" width="11.85546875" style="9" customWidth="1"/>
    <col min="6" max="6" width="21.7109375" style="17" customWidth="1"/>
    <col min="7" max="7" width="11.5703125" style="15" customWidth="1"/>
    <col min="8" max="8" width="10" style="7" bestFit="1" customWidth="1"/>
    <col min="9" max="9" width="35.140625" style="168" customWidth="1"/>
    <col min="10" max="10" width="7.5703125" style="15" bestFit="1" customWidth="1"/>
    <col min="11" max="12" width="11.5703125" style="7" customWidth="1"/>
    <col min="13" max="13" width="7.5703125" style="7" bestFit="1" customWidth="1"/>
    <col min="14" max="15" width="11.5703125" style="7" customWidth="1"/>
    <col min="16" max="16" width="7.5703125" style="7" bestFit="1" customWidth="1"/>
    <col min="17" max="18" width="11.5703125" style="7" customWidth="1"/>
    <col min="19" max="19" width="9.5703125" style="7" bestFit="1" customWidth="1"/>
    <col min="20" max="20" width="10.5703125" style="7" bestFit="1" customWidth="1"/>
    <col min="21" max="16384" width="9.140625" style="7"/>
  </cols>
  <sheetData>
    <row r="1" spans="1:18" x14ac:dyDescent="0.25">
      <c r="C1"/>
      <c r="D1"/>
      <c r="E1"/>
      <c r="F1"/>
      <c r="H1" s="7">
        <v>1.5</v>
      </c>
    </row>
    <row r="2" spans="1:18" ht="39.75" hidden="1" customHeight="1" x14ac:dyDescent="0.25">
      <c r="B2" s="368" t="s">
        <v>509</v>
      </c>
      <c r="C2" s="368"/>
      <c r="D2" s="368"/>
      <c r="E2" s="90"/>
      <c r="F2" s="90"/>
      <c r="G2" s="90"/>
      <c r="H2" s="90"/>
      <c r="I2" s="167"/>
    </row>
    <row r="3" spans="1:18" ht="76.5" customHeight="1" x14ac:dyDescent="0.25">
      <c r="B3" s="375" t="s">
        <v>1</v>
      </c>
      <c r="C3" s="377" t="s">
        <v>2</v>
      </c>
      <c r="D3" s="375" t="s">
        <v>0</v>
      </c>
      <c r="E3" s="379" t="s">
        <v>211</v>
      </c>
      <c r="F3" s="379" t="s">
        <v>72</v>
      </c>
      <c r="G3" s="367" t="s">
        <v>210</v>
      </c>
      <c r="H3" s="367"/>
      <c r="I3" s="381" t="s">
        <v>349</v>
      </c>
      <c r="J3" s="386" t="s">
        <v>527</v>
      </c>
      <c r="K3" s="387"/>
      <c r="L3" s="388"/>
      <c r="M3" s="386" t="s">
        <v>528</v>
      </c>
      <c r="N3" s="387"/>
      <c r="O3" s="388"/>
      <c r="P3" s="367" t="s">
        <v>529</v>
      </c>
      <c r="Q3" s="367"/>
      <c r="R3" s="367"/>
    </row>
    <row r="4" spans="1:18" ht="25.5" x14ac:dyDescent="0.25">
      <c r="B4" s="376"/>
      <c r="C4" s="378"/>
      <c r="D4" s="376"/>
      <c r="E4" s="380"/>
      <c r="F4" s="380"/>
      <c r="G4" s="74" t="s">
        <v>144</v>
      </c>
      <c r="H4" s="74" t="s">
        <v>145</v>
      </c>
      <c r="I4" s="382"/>
      <c r="J4" s="20" t="s">
        <v>107</v>
      </c>
      <c r="K4" s="20" t="s">
        <v>507</v>
      </c>
      <c r="L4" s="74" t="s">
        <v>508</v>
      </c>
      <c r="M4" s="20" t="s">
        <v>107</v>
      </c>
      <c r="N4" s="74" t="s">
        <v>507</v>
      </c>
      <c r="O4" s="74" t="s">
        <v>508</v>
      </c>
      <c r="P4" s="74" t="s">
        <v>107</v>
      </c>
      <c r="Q4" s="74" t="s">
        <v>507</v>
      </c>
      <c r="R4" s="74" t="s">
        <v>508</v>
      </c>
    </row>
    <row r="5" spans="1:18" x14ac:dyDescent="0.25">
      <c r="B5" s="151" t="s">
        <v>74</v>
      </c>
      <c r="C5" s="138" t="s">
        <v>75</v>
      </c>
      <c r="D5" s="78" t="s">
        <v>76</v>
      </c>
      <c r="E5" s="78" t="s">
        <v>77</v>
      </c>
      <c r="F5" s="78" t="s">
        <v>78</v>
      </c>
      <c r="G5" s="74" t="s">
        <v>664</v>
      </c>
      <c r="H5" s="74" t="s">
        <v>665</v>
      </c>
      <c r="I5" s="91" t="s">
        <v>93</v>
      </c>
      <c r="J5" s="19" t="s">
        <v>94</v>
      </c>
      <c r="K5" s="19" t="s">
        <v>95</v>
      </c>
      <c r="L5" s="78" t="s">
        <v>96</v>
      </c>
      <c r="M5" s="19" t="s">
        <v>97</v>
      </c>
      <c r="N5" s="19" t="s">
        <v>98</v>
      </c>
      <c r="O5" s="78" t="s">
        <v>99</v>
      </c>
      <c r="P5" s="78" t="s">
        <v>100</v>
      </c>
      <c r="Q5" s="78" t="s">
        <v>101</v>
      </c>
      <c r="R5" s="78" t="s">
        <v>102</v>
      </c>
    </row>
    <row r="6" spans="1:18" ht="25.5" x14ac:dyDescent="0.25">
      <c r="B6" s="150">
        <v>1</v>
      </c>
      <c r="C6" s="131" t="s">
        <v>167</v>
      </c>
      <c r="D6" s="110" t="s">
        <v>21</v>
      </c>
      <c r="E6" s="111">
        <v>1029.5600978959999</v>
      </c>
      <c r="F6" s="140">
        <f>'Labour cost Escalation Factor'!$J$10</f>
        <v>0.27984207704983549</v>
      </c>
      <c r="G6" s="112">
        <f>E6*(1+F6)</f>
        <v>1317.6743341388485</v>
      </c>
      <c r="H6" s="112">
        <f>G6</f>
        <v>1317.6743341388485</v>
      </c>
      <c r="I6" s="166" t="s">
        <v>763</v>
      </c>
      <c r="J6" s="112">
        <v>1</v>
      </c>
      <c r="K6" s="112">
        <f>J6*$G6</f>
        <v>1317.6743341388485</v>
      </c>
      <c r="L6" s="112">
        <f>J6*$H6</f>
        <v>1317.6743341388485</v>
      </c>
      <c r="M6" s="112">
        <v>1</v>
      </c>
      <c r="N6" s="112">
        <f>M6*$G6</f>
        <v>1317.6743341388485</v>
      </c>
      <c r="O6" s="112">
        <f>M6*$H6</f>
        <v>1317.6743341388485</v>
      </c>
      <c r="P6" s="112">
        <v>1</v>
      </c>
      <c r="Q6" s="112">
        <f>P6*$G6</f>
        <v>1317.6743341388485</v>
      </c>
      <c r="R6" s="112">
        <f>P6*$H6</f>
        <v>1317.6743341388485</v>
      </c>
    </row>
    <row r="7" spans="1:18" ht="38.25" x14ac:dyDescent="0.25">
      <c r="A7" s="37"/>
      <c r="B7" s="150">
        <v>2</v>
      </c>
      <c r="C7" s="131" t="s">
        <v>146</v>
      </c>
      <c r="D7" s="110" t="s">
        <v>3</v>
      </c>
      <c r="E7" s="113">
        <f>200*1.2967</f>
        <v>259.33999999999997</v>
      </c>
      <c r="F7" s="142">
        <f>'Labour cost Escalation Factor'!$J$10</f>
        <v>0.27984207704983549</v>
      </c>
      <c r="G7" s="115">
        <f>E7*(1+F7)</f>
        <v>331.91424426210432</v>
      </c>
      <c r="H7" s="115">
        <f>G7*$H$1</f>
        <v>497.87136639315645</v>
      </c>
      <c r="I7" s="166" t="s">
        <v>766</v>
      </c>
      <c r="J7" s="112">
        <v>17</v>
      </c>
      <c r="K7" s="112">
        <f t="shared" ref="K7:K70" si="0">J7*$G7</f>
        <v>5642.5421524557732</v>
      </c>
      <c r="L7" s="112">
        <f t="shared" ref="L7:L70" si="1">J7*$H7</f>
        <v>8463.813228683659</v>
      </c>
      <c r="M7" s="112">
        <v>17</v>
      </c>
      <c r="N7" s="112">
        <f t="shared" ref="N7:N70" si="2">M7*$G7</f>
        <v>5642.5421524557732</v>
      </c>
      <c r="O7" s="112">
        <f t="shared" ref="O7:O70" si="3">M7*$H7</f>
        <v>8463.813228683659</v>
      </c>
      <c r="P7" s="112">
        <v>17</v>
      </c>
      <c r="Q7" s="112">
        <f t="shared" ref="Q7:Q70" si="4">P7*$G7</f>
        <v>5642.5421524557732</v>
      </c>
      <c r="R7" s="112">
        <f t="shared" ref="R7:R70" si="5">P7*$H7</f>
        <v>8463.813228683659</v>
      </c>
    </row>
    <row r="8" spans="1:18" x14ac:dyDescent="0.25">
      <c r="B8" s="369">
        <v>3</v>
      </c>
      <c r="C8" s="131" t="s">
        <v>141</v>
      </c>
      <c r="D8" s="110"/>
      <c r="E8" s="113"/>
      <c r="F8" s="142"/>
      <c r="G8" s="115"/>
      <c r="H8" s="115"/>
      <c r="I8" s="166"/>
      <c r="J8" s="112"/>
      <c r="K8" s="112">
        <f t="shared" si="0"/>
        <v>0</v>
      </c>
      <c r="L8" s="112">
        <f t="shared" si="1"/>
        <v>0</v>
      </c>
      <c r="M8" s="112"/>
      <c r="N8" s="112">
        <f t="shared" si="2"/>
        <v>0</v>
      </c>
      <c r="O8" s="112">
        <f t="shared" si="3"/>
        <v>0</v>
      </c>
      <c r="P8" s="112"/>
      <c r="Q8" s="112">
        <f t="shared" si="4"/>
        <v>0</v>
      </c>
      <c r="R8" s="112">
        <f t="shared" si="5"/>
        <v>0</v>
      </c>
    </row>
    <row r="9" spans="1:18" ht="25.5" x14ac:dyDescent="0.25">
      <c r="B9" s="370"/>
      <c r="C9" s="131" t="s">
        <v>104</v>
      </c>
      <c r="D9" s="110" t="s">
        <v>8</v>
      </c>
      <c r="E9" s="113">
        <f>661.34*1.2967</f>
        <v>857.55957799999999</v>
      </c>
      <c r="F9" s="142">
        <f>'Labour cost Escalation Factor'!$J$10</f>
        <v>0.27984207704983549</v>
      </c>
      <c r="G9" s="115">
        <f>E9*(1+F9)</f>
        <v>1097.5408315015004</v>
      </c>
      <c r="H9" s="115">
        <f>G9</f>
        <v>1097.5408315015004</v>
      </c>
      <c r="I9" s="166" t="s">
        <v>763</v>
      </c>
      <c r="J9" s="112"/>
      <c r="K9" s="112">
        <f t="shared" si="0"/>
        <v>0</v>
      </c>
      <c r="L9" s="112">
        <f t="shared" si="1"/>
        <v>0</v>
      </c>
      <c r="M9" s="112"/>
      <c r="N9" s="112">
        <f t="shared" si="2"/>
        <v>0</v>
      </c>
      <c r="O9" s="112">
        <f t="shared" si="3"/>
        <v>0</v>
      </c>
      <c r="P9" s="112"/>
      <c r="Q9" s="112">
        <f t="shared" si="4"/>
        <v>0</v>
      </c>
      <c r="R9" s="112">
        <f t="shared" si="5"/>
        <v>0</v>
      </c>
    </row>
    <row r="10" spans="1:18" ht="25.5" x14ac:dyDescent="0.25">
      <c r="B10" s="370"/>
      <c r="C10" s="131" t="s">
        <v>12</v>
      </c>
      <c r="D10" s="110" t="s">
        <v>13</v>
      </c>
      <c r="E10" s="113">
        <v>1335.208711254</v>
      </c>
      <c r="F10" s="142">
        <f>'Labour cost Escalation Factor'!$J$10</f>
        <v>0.27984207704983549</v>
      </c>
      <c r="G10" s="115">
        <f>E10*(1+F10)</f>
        <v>1708.8562903063535</v>
      </c>
      <c r="H10" s="115">
        <f>G10</f>
        <v>1708.8562903063535</v>
      </c>
      <c r="I10" s="166" t="s">
        <v>763</v>
      </c>
      <c r="J10" s="112"/>
      <c r="K10" s="112">
        <f t="shared" si="0"/>
        <v>0</v>
      </c>
      <c r="L10" s="112">
        <f t="shared" si="1"/>
        <v>0</v>
      </c>
      <c r="M10" s="112"/>
      <c r="N10" s="112">
        <f t="shared" si="2"/>
        <v>0</v>
      </c>
      <c r="O10" s="112">
        <f t="shared" si="3"/>
        <v>0</v>
      </c>
      <c r="P10" s="112"/>
      <c r="Q10" s="112">
        <f t="shared" si="4"/>
        <v>0</v>
      </c>
      <c r="R10" s="112">
        <f t="shared" si="5"/>
        <v>0</v>
      </c>
    </row>
    <row r="11" spans="1:18" ht="25.5" x14ac:dyDescent="0.25">
      <c r="B11" s="370"/>
      <c r="C11" s="131" t="s">
        <v>195</v>
      </c>
      <c r="D11" s="110" t="s">
        <v>88</v>
      </c>
      <c r="E11" s="113">
        <v>1927.73145312</v>
      </c>
      <c r="F11" s="142">
        <f>'Labour cost Escalation Factor'!$J$10</f>
        <v>0.27984207704983549</v>
      </c>
      <c r="G11" s="115">
        <f>E11*(1+F11)</f>
        <v>2467.1918269553985</v>
      </c>
      <c r="H11" s="115">
        <f>G11</f>
        <v>2467.1918269553985</v>
      </c>
      <c r="I11" s="166" t="s">
        <v>763</v>
      </c>
      <c r="J11" s="112"/>
      <c r="K11" s="112">
        <f t="shared" si="0"/>
        <v>0</v>
      </c>
      <c r="L11" s="112">
        <f t="shared" si="1"/>
        <v>0</v>
      </c>
      <c r="M11" s="112"/>
      <c r="N11" s="112">
        <f t="shared" si="2"/>
        <v>0</v>
      </c>
      <c r="O11" s="112">
        <f t="shared" si="3"/>
        <v>0</v>
      </c>
      <c r="P11" s="112"/>
      <c r="Q11" s="112">
        <f t="shared" si="4"/>
        <v>0</v>
      </c>
      <c r="R11" s="112">
        <f t="shared" si="5"/>
        <v>0</v>
      </c>
    </row>
    <row r="12" spans="1:18" ht="25.5" x14ac:dyDescent="0.25">
      <c r="B12" s="371"/>
      <c r="C12" s="131" t="s">
        <v>196</v>
      </c>
      <c r="D12" s="110" t="s">
        <v>89</v>
      </c>
      <c r="E12" s="113" t="s">
        <v>90</v>
      </c>
      <c r="F12" s="142"/>
      <c r="G12" s="115">
        <f>G9*4</f>
        <v>4390.1633260060016</v>
      </c>
      <c r="H12" s="115">
        <f>G12</f>
        <v>4390.1633260060016</v>
      </c>
      <c r="I12" s="166" t="s">
        <v>774</v>
      </c>
      <c r="J12" s="112"/>
      <c r="K12" s="112">
        <f t="shared" si="0"/>
        <v>0</v>
      </c>
      <c r="L12" s="112">
        <f t="shared" si="1"/>
        <v>0</v>
      </c>
      <c r="M12" s="112"/>
      <c r="N12" s="112">
        <f t="shared" si="2"/>
        <v>0</v>
      </c>
      <c r="O12" s="112">
        <f t="shared" si="3"/>
        <v>0</v>
      </c>
      <c r="P12" s="112"/>
      <c r="Q12" s="112">
        <f t="shared" si="4"/>
        <v>0</v>
      </c>
      <c r="R12" s="112">
        <f t="shared" si="5"/>
        <v>0</v>
      </c>
    </row>
    <row r="13" spans="1:18" x14ac:dyDescent="0.25">
      <c r="B13" s="369">
        <v>4</v>
      </c>
      <c r="C13" s="131" t="s">
        <v>142</v>
      </c>
      <c r="D13" s="110"/>
      <c r="E13" s="113"/>
      <c r="F13" s="142"/>
      <c r="G13" s="115"/>
      <c r="H13" s="115"/>
      <c r="I13" s="166"/>
      <c r="J13" s="112"/>
      <c r="K13" s="112">
        <f t="shared" si="0"/>
        <v>0</v>
      </c>
      <c r="L13" s="112">
        <f t="shared" si="1"/>
        <v>0</v>
      </c>
      <c r="M13" s="112"/>
      <c r="N13" s="112">
        <f t="shared" si="2"/>
        <v>0</v>
      </c>
      <c r="O13" s="112">
        <f t="shared" si="3"/>
        <v>0</v>
      </c>
      <c r="P13" s="112"/>
      <c r="Q13" s="112">
        <f t="shared" si="4"/>
        <v>0</v>
      </c>
      <c r="R13" s="112">
        <f t="shared" si="5"/>
        <v>0</v>
      </c>
    </row>
    <row r="14" spans="1:18" ht="25.5" x14ac:dyDescent="0.25">
      <c r="B14" s="370"/>
      <c r="C14" s="131" t="s">
        <v>104</v>
      </c>
      <c r="D14" s="110" t="s">
        <v>8</v>
      </c>
      <c r="E14" s="113">
        <f>(780*E9)/676</f>
        <v>989.49182076923069</v>
      </c>
      <c r="F14" s="142">
        <f>'Labour cost Escalation Factor'!$J$10</f>
        <v>0.27984207704983549</v>
      </c>
      <c r="G14" s="115">
        <f>E14*(1+F14)</f>
        <v>1266.3932671171158</v>
      </c>
      <c r="H14" s="115">
        <f>G14</f>
        <v>1266.3932671171158</v>
      </c>
      <c r="I14" s="166" t="s">
        <v>763</v>
      </c>
      <c r="J14" s="112">
        <v>11</v>
      </c>
      <c r="K14" s="112">
        <f t="shared" si="0"/>
        <v>13930.325938288273</v>
      </c>
      <c r="L14" s="112">
        <f t="shared" si="1"/>
        <v>13930.325938288273</v>
      </c>
      <c r="M14" s="112">
        <v>11</v>
      </c>
      <c r="N14" s="112">
        <f t="shared" si="2"/>
        <v>13930.325938288273</v>
      </c>
      <c r="O14" s="112">
        <f t="shared" si="3"/>
        <v>13930.325938288273</v>
      </c>
      <c r="P14" s="112">
        <v>11</v>
      </c>
      <c r="Q14" s="112">
        <f t="shared" si="4"/>
        <v>13930.325938288273</v>
      </c>
      <c r="R14" s="112">
        <f t="shared" si="5"/>
        <v>13930.325938288273</v>
      </c>
    </row>
    <row r="15" spans="1:18" ht="25.5" x14ac:dyDescent="0.25">
      <c r="B15" s="370"/>
      <c r="C15" s="131" t="s">
        <v>12</v>
      </c>
      <c r="D15" s="110" t="s">
        <v>13</v>
      </c>
      <c r="E15" s="113">
        <f>(780*E10)/676</f>
        <v>1540.6254360623077</v>
      </c>
      <c r="F15" s="142">
        <f>'Labour cost Escalation Factor'!$J$10</f>
        <v>0.27984207704983549</v>
      </c>
      <c r="G15" s="115">
        <f>E15*(1+F15)</f>
        <v>1971.7572580457925</v>
      </c>
      <c r="H15" s="115">
        <f>G15</f>
        <v>1971.7572580457925</v>
      </c>
      <c r="I15" s="166" t="s">
        <v>763</v>
      </c>
      <c r="J15" s="112">
        <v>3</v>
      </c>
      <c r="K15" s="112">
        <f t="shared" si="0"/>
        <v>5915.2717741373772</v>
      </c>
      <c r="L15" s="112">
        <f t="shared" si="1"/>
        <v>5915.2717741373772</v>
      </c>
      <c r="M15" s="112">
        <v>3</v>
      </c>
      <c r="N15" s="112">
        <f t="shared" si="2"/>
        <v>5915.2717741373772</v>
      </c>
      <c r="O15" s="112">
        <f t="shared" si="3"/>
        <v>5915.2717741373772</v>
      </c>
      <c r="P15" s="112">
        <v>3</v>
      </c>
      <c r="Q15" s="112">
        <f t="shared" si="4"/>
        <v>5915.2717741373772</v>
      </c>
      <c r="R15" s="112">
        <f t="shared" si="5"/>
        <v>5915.2717741373772</v>
      </c>
    </row>
    <row r="16" spans="1:18" ht="25.5" x14ac:dyDescent="0.25">
      <c r="B16" s="370"/>
      <c r="C16" s="131" t="s">
        <v>195</v>
      </c>
      <c r="D16" s="110" t="s">
        <v>88</v>
      </c>
      <c r="E16" s="113">
        <f>(780*E11)/676</f>
        <v>2224.305522830769</v>
      </c>
      <c r="F16" s="142">
        <f>'Labour cost Escalation Factor'!$J$10</f>
        <v>0.27984207704983549</v>
      </c>
      <c r="G16" s="115">
        <f>E16*(1+F16)</f>
        <v>2846.7598003331518</v>
      </c>
      <c r="H16" s="115">
        <f>G16</f>
        <v>2846.7598003331518</v>
      </c>
      <c r="I16" s="166" t="s">
        <v>763</v>
      </c>
      <c r="J16" s="112"/>
      <c r="K16" s="112">
        <f t="shared" si="0"/>
        <v>0</v>
      </c>
      <c r="L16" s="112">
        <f t="shared" si="1"/>
        <v>0</v>
      </c>
      <c r="M16" s="112"/>
      <c r="N16" s="112">
        <f t="shared" si="2"/>
        <v>0</v>
      </c>
      <c r="O16" s="112">
        <f t="shared" si="3"/>
        <v>0</v>
      </c>
      <c r="P16" s="112"/>
      <c r="Q16" s="112">
        <f t="shared" si="4"/>
        <v>0</v>
      </c>
      <c r="R16" s="112">
        <f t="shared" si="5"/>
        <v>0</v>
      </c>
    </row>
    <row r="17" spans="1:18" ht="25.5" x14ac:dyDescent="0.25">
      <c r="B17" s="371"/>
      <c r="C17" s="131" t="s">
        <v>197</v>
      </c>
      <c r="D17" s="110" t="s">
        <v>89</v>
      </c>
      <c r="E17" s="113" t="s">
        <v>90</v>
      </c>
      <c r="F17" s="142"/>
      <c r="G17" s="115">
        <f>G14*4</f>
        <v>5065.5730684684631</v>
      </c>
      <c r="H17" s="115">
        <f>G17</f>
        <v>5065.5730684684631</v>
      </c>
      <c r="I17" s="166" t="s">
        <v>775</v>
      </c>
      <c r="J17" s="112"/>
      <c r="K17" s="112">
        <f t="shared" si="0"/>
        <v>0</v>
      </c>
      <c r="L17" s="112">
        <f t="shared" si="1"/>
        <v>0</v>
      </c>
      <c r="M17" s="112"/>
      <c r="N17" s="112">
        <f t="shared" si="2"/>
        <v>0</v>
      </c>
      <c r="O17" s="112">
        <f t="shared" si="3"/>
        <v>0</v>
      </c>
      <c r="P17" s="112"/>
      <c r="Q17" s="112">
        <f t="shared" si="4"/>
        <v>0</v>
      </c>
      <c r="R17" s="112">
        <f t="shared" si="5"/>
        <v>0</v>
      </c>
    </row>
    <row r="18" spans="1:18" ht="38.25" x14ac:dyDescent="0.25">
      <c r="A18" s="37"/>
      <c r="B18" s="154">
        <v>5</v>
      </c>
      <c r="C18" s="131" t="s">
        <v>669</v>
      </c>
      <c r="D18" s="110" t="s">
        <v>3</v>
      </c>
      <c r="E18" s="113" t="s">
        <v>90</v>
      </c>
      <c r="F18" s="142"/>
      <c r="G18" s="115">
        <f>($G$7/(13/6))*(9.3/6)</f>
        <v>237.44634397212081</v>
      </c>
      <c r="H18" s="115">
        <f>G18*$H$1</f>
        <v>356.16951595818125</v>
      </c>
      <c r="I18" s="166" t="s">
        <v>717</v>
      </c>
      <c r="J18" s="112"/>
      <c r="K18" s="112">
        <f t="shared" si="0"/>
        <v>0</v>
      </c>
      <c r="L18" s="112">
        <f t="shared" si="1"/>
        <v>0</v>
      </c>
      <c r="M18" s="112"/>
      <c r="N18" s="112">
        <f t="shared" si="2"/>
        <v>0</v>
      </c>
      <c r="O18" s="112">
        <f t="shared" si="3"/>
        <v>0</v>
      </c>
      <c r="P18" s="112"/>
      <c r="Q18" s="112">
        <f t="shared" si="4"/>
        <v>0</v>
      </c>
      <c r="R18" s="112">
        <f t="shared" si="5"/>
        <v>0</v>
      </c>
    </row>
    <row r="19" spans="1:18" ht="25.5" x14ac:dyDescent="0.25">
      <c r="B19" s="369">
        <v>6</v>
      </c>
      <c r="C19" s="131" t="s">
        <v>776</v>
      </c>
      <c r="D19" s="110"/>
      <c r="E19" s="113"/>
      <c r="F19" s="142"/>
      <c r="G19" s="115"/>
      <c r="H19" s="115"/>
      <c r="I19" s="166"/>
      <c r="J19" s="112"/>
      <c r="K19" s="112">
        <f t="shared" si="0"/>
        <v>0</v>
      </c>
      <c r="L19" s="112">
        <f t="shared" si="1"/>
        <v>0</v>
      </c>
      <c r="M19" s="112"/>
      <c r="N19" s="112">
        <f t="shared" si="2"/>
        <v>0</v>
      </c>
      <c r="O19" s="112">
        <f t="shared" si="3"/>
        <v>0</v>
      </c>
      <c r="P19" s="112"/>
      <c r="Q19" s="112">
        <f t="shared" si="4"/>
        <v>0</v>
      </c>
      <c r="R19" s="112">
        <f t="shared" si="5"/>
        <v>0</v>
      </c>
    </row>
    <row r="20" spans="1:18" ht="25.5" x14ac:dyDescent="0.25">
      <c r="B20" s="370"/>
      <c r="C20" s="131" t="s">
        <v>104</v>
      </c>
      <c r="D20" s="110" t="s">
        <v>8</v>
      </c>
      <c r="E20" s="113" t="s">
        <v>90</v>
      </c>
      <c r="F20" s="142"/>
      <c r="G20" s="115">
        <f>(('33KV line labour'!$G$14/(60*13))*(9.3*19.6))</f>
        <v>295.94636503859988</v>
      </c>
      <c r="H20" s="115">
        <f>G20</f>
        <v>295.94636503859988</v>
      </c>
      <c r="I20" s="166" t="s">
        <v>718</v>
      </c>
      <c r="J20" s="112"/>
      <c r="K20" s="112">
        <f t="shared" si="0"/>
        <v>0</v>
      </c>
      <c r="L20" s="112">
        <f t="shared" si="1"/>
        <v>0</v>
      </c>
      <c r="M20" s="112"/>
      <c r="N20" s="112">
        <f t="shared" si="2"/>
        <v>0</v>
      </c>
      <c r="O20" s="112">
        <f t="shared" si="3"/>
        <v>0</v>
      </c>
      <c r="P20" s="112"/>
      <c r="Q20" s="112">
        <f t="shared" si="4"/>
        <v>0</v>
      </c>
      <c r="R20" s="112">
        <f t="shared" si="5"/>
        <v>0</v>
      </c>
    </row>
    <row r="21" spans="1:18" ht="38.25" x14ac:dyDescent="0.25">
      <c r="B21" s="370"/>
      <c r="C21" s="131" t="s">
        <v>12</v>
      </c>
      <c r="D21" s="110" t="s">
        <v>13</v>
      </c>
      <c r="E21" s="113" t="s">
        <v>90</v>
      </c>
      <c r="F21" s="142"/>
      <c r="G21" s="115">
        <f>G20*2</f>
        <v>591.89273007719976</v>
      </c>
      <c r="H21" s="115">
        <f>G21</f>
        <v>591.89273007719976</v>
      </c>
      <c r="I21" s="166" t="s">
        <v>777</v>
      </c>
      <c r="J21" s="112"/>
      <c r="K21" s="112">
        <f t="shared" si="0"/>
        <v>0</v>
      </c>
      <c r="L21" s="112">
        <f t="shared" si="1"/>
        <v>0</v>
      </c>
      <c r="M21" s="112"/>
      <c r="N21" s="112">
        <f t="shared" si="2"/>
        <v>0</v>
      </c>
      <c r="O21" s="112">
        <f t="shared" si="3"/>
        <v>0</v>
      </c>
      <c r="P21" s="112"/>
      <c r="Q21" s="112">
        <f t="shared" si="4"/>
        <v>0</v>
      </c>
      <c r="R21" s="112">
        <f t="shared" si="5"/>
        <v>0</v>
      </c>
    </row>
    <row r="22" spans="1:18" ht="38.25" x14ac:dyDescent="0.25">
      <c r="B22" s="370"/>
      <c r="C22" s="131" t="s">
        <v>195</v>
      </c>
      <c r="D22" s="110" t="s">
        <v>88</v>
      </c>
      <c r="E22" s="113" t="s">
        <v>90</v>
      </c>
      <c r="F22" s="142"/>
      <c r="G22" s="115">
        <f>G20*3</f>
        <v>887.83909511579964</v>
      </c>
      <c r="H22" s="115">
        <f>G22</f>
        <v>887.83909511579964</v>
      </c>
      <c r="I22" s="166" t="s">
        <v>778</v>
      </c>
      <c r="J22" s="112"/>
      <c r="K22" s="112">
        <f t="shared" si="0"/>
        <v>0</v>
      </c>
      <c r="L22" s="112">
        <f t="shared" si="1"/>
        <v>0</v>
      </c>
      <c r="M22" s="112"/>
      <c r="N22" s="112">
        <f t="shared" si="2"/>
        <v>0</v>
      </c>
      <c r="O22" s="112">
        <f t="shared" si="3"/>
        <v>0</v>
      </c>
      <c r="P22" s="112"/>
      <c r="Q22" s="112">
        <f t="shared" si="4"/>
        <v>0</v>
      </c>
      <c r="R22" s="112">
        <f t="shared" si="5"/>
        <v>0</v>
      </c>
    </row>
    <row r="23" spans="1:18" ht="38.25" x14ac:dyDescent="0.25">
      <c r="B23" s="371"/>
      <c r="C23" s="131" t="s">
        <v>197</v>
      </c>
      <c r="D23" s="110" t="s">
        <v>89</v>
      </c>
      <c r="E23" s="113" t="s">
        <v>90</v>
      </c>
      <c r="F23" s="142"/>
      <c r="G23" s="115">
        <f>G20*4</f>
        <v>1183.7854601543995</v>
      </c>
      <c r="H23" s="115">
        <f>G23</f>
        <v>1183.7854601543995</v>
      </c>
      <c r="I23" s="166" t="s">
        <v>779</v>
      </c>
      <c r="J23" s="112"/>
      <c r="K23" s="112">
        <f t="shared" si="0"/>
        <v>0</v>
      </c>
      <c r="L23" s="112">
        <f t="shared" si="1"/>
        <v>0</v>
      </c>
      <c r="M23" s="112"/>
      <c r="N23" s="112">
        <f t="shared" si="2"/>
        <v>0</v>
      </c>
      <c r="O23" s="112">
        <f t="shared" si="3"/>
        <v>0</v>
      </c>
      <c r="P23" s="112"/>
      <c r="Q23" s="112">
        <f t="shared" si="4"/>
        <v>0</v>
      </c>
      <c r="R23" s="112">
        <f t="shared" si="5"/>
        <v>0</v>
      </c>
    </row>
    <row r="24" spans="1:18" ht="38.25" x14ac:dyDescent="0.25">
      <c r="A24" s="37"/>
      <c r="B24" s="154">
        <v>7</v>
      </c>
      <c r="C24" s="131" t="s">
        <v>670</v>
      </c>
      <c r="D24" s="110" t="s">
        <v>3</v>
      </c>
      <c r="E24" s="113" t="s">
        <v>90</v>
      </c>
      <c r="F24" s="142"/>
      <c r="G24" s="115">
        <f>($G$7/(13/6))*(9/6)</f>
        <v>229.78678448914917</v>
      </c>
      <c r="H24" s="115">
        <f>G24*$H$1</f>
        <v>344.68017673372378</v>
      </c>
      <c r="I24" s="166" t="s">
        <v>717</v>
      </c>
      <c r="J24" s="112"/>
      <c r="K24" s="112">
        <f t="shared" si="0"/>
        <v>0</v>
      </c>
      <c r="L24" s="112">
        <f t="shared" si="1"/>
        <v>0</v>
      </c>
      <c r="M24" s="112"/>
      <c r="N24" s="112">
        <f t="shared" si="2"/>
        <v>0</v>
      </c>
      <c r="O24" s="112">
        <f t="shared" si="3"/>
        <v>0</v>
      </c>
      <c r="P24" s="112"/>
      <c r="Q24" s="112">
        <f t="shared" si="4"/>
        <v>0</v>
      </c>
      <c r="R24" s="112">
        <f t="shared" si="5"/>
        <v>0</v>
      </c>
    </row>
    <row r="25" spans="1:18" ht="25.5" x14ac:dyDescent="0.25">
      <c r="B25" s="369">
        <v>8</v>
      </c>
      <c r="C25" s="131" t="s">
        <v>780</v>
      </c>
      <c r="D25" s="110"/>
      <c r="E25" s="113"/>
      <c r="F25" s="142"/>
      <c r="G25" s="115"/>
      <c r="H25" s="115"/>
      <c r="I25" s="166"/>
      <c r="J25" s="112"/>
      <c r="K25" s="112">
        <f t="shared" si="0"/>
        <v>0</v>
      </c>
      <c r="L25" s="112">
        <f t="shared" si="1"/>
        <v>0</v>
      </c>
      <c r="M25" s="112"/>
      <c r="N25" s="112">
        <f t="shared" si="2"/>
        <v>0</v>
      </c>
      <c r="O25" s="112">
        <f t="shared" si="3"/>
        <v>0</v>
      </c>
      <c r="P25" s="112"/>
      <c r="Q25" s="112">
        <f t="shared" si="4"/>
        <v>0</v>
      </c>
      <c r="R25" s="112">
        <f t="shared" si="5"/>
        <v>0</v>
      </c>
    </row>
    <row r="26" spans="1:18" ht="25.5" x14ac:dyDescent="0.25">
      <c r="B26" s="370"/>
      <c r="C26" s="131" t="s">
        <v>104</v>
      </c>
      <c r="D26" s="110" t="s">
        <v>8</v>
      </c>
      <c r="E26" s="113" t="s">
        <v>90</v>
      </c>
      <c r="F26" s="142"/>
      <c r="G26" s="115">
        <f>(('33KV line labour'!$G$14/(60*13))*(9*23))</f>
        <v>336.0812901195423</v>
      </c>
      <c r="H26" s="115">
        <f>G26</f>
        <v>336.0812901195423</v>
      </c>
      <c r="I26" s="166" t="s">
        <v>718</v>
      </c>
      <c r="J26" s="112"/>
      <c r="K26" s="112">
        <f t="shared" si="0"/>
        <v>0</v>
      </c>
      <c r="L26" s="112">
        <f t="shared" si="1"/>
        <v>0</v>
      </c>
      <c r="M26" s="112"/>
      <c r="N26" s="112">
        <f t="shared" si="2"/>
        <v>0</v>
      </c>
      <c r="O26" s="112">
        <f t="shared" si="3"/>
        <v>0</v>
      </c>
      <c r="P26" s="112"/>
      <c r="Q26" s="112">
        <f t="shared" si="4"/>
        <v>0</v>
      </c>
      <c r="R26" s="112">
        <f t="shared" si="5"/>
        <v>0</v>
      </c>
    </row>
    <row r="27" spans="1:18" ht="38.25" x14ac:dyDescent="0.25">
      <c r="B27" s="370"/>
      <c r="C27" s="131" t="s">
        <v>12</v>
      </c>
      <c r="D27" s="110" t="s">
        <v>13</v>
      </c>
      <c r="E27" s="113" t="s">
        <v>90</v>
      </c>
      <c r="F27" s="142"/>
      <c r="G27" s="115">
        <f>G26*2</f>
        <v>672.1625802390846</v>
      </c>
      <c r="H27" s="115">
        <f>G27</f>
        <v>672.1625802390846</v>
      </c>
      <c r="I27" s="166" t="s">
        <v>781</v>
      </c>
      <c r="J27" s="112"/>
      <c r="K27" s="112">
        <f t="shared" si="0"/>
        <v>0</v>
      </c>
      <c r="L27" s="112">
        <f t="shared" si="1"/>
        <v>0</v>
      </c>
      <c r="M27" s="112"/>
      <c r="N27" s="112">
        <f t="shared" si="2"/>
        <v>0</v>
      </c>
      <c r="O27" s="112">
        <f t="shared" si="3"/>
        <v>0</v>
      </c>
      <c r="P27" s="112"/>
      <c r="Q27" s="112">
        <f t="shared" si="4"/>
        <v>0</v>
      </c>
      <c r="R27" s="112">
        <f t="shared" si="5"/>
        <v>0</v>
      </c>
    </row>
    <row r="28" spans="1:18" ht="38.25" x14ac:dyDescent="0.25">
      <c r="B28" s="370"/>
      <c r="C28" s="131" t="s">
        <v>195</v>
      </c>
      <c r="D28" s="110" t="s">
        <v>88</v>
      </c>
      <c r="E28" s="113" t="s">
        <v>90</v>
      </c>
      <c r="F28" s="142"/>
      <c r="G28" s="115">
        <f>G26*3</f>
        <v>1008.243870358627</v>
      </c>
      <c r="H28" s="115">
        <f>G28</f>
        <v>1008.243870358627</v>
      </c>
      <c r="I28" s="166" t="s">
        <v>782</v>
      </c>
      <c r="J28" s="112"/>
      <c r="K28" s="112">
        <f t="shared" si="0"/>
        <v>0</v>
      </c>
      <c r="L28" s="112">
        <f t="shared" si="1"/>
        <v>0</v>
      </c>
      <c r="M28" s="112"/>
      <c r="N28" s="112">
        <f t="shared" si="2"/>
        <v>0</v>
      </c>
      <c r="O28" s="112">
        <f t="shared" si="3"/>
        <v>0</v>
      </c>
      <c r="P28" s="112"/>
      <c r="Q28" s="112">
        <f t="shared" si="4"/>
        <v>0</v>
      </c>
      <c r="R28" s="112">
        <f t="shared" si="5"/>
        <v>0</v>
      </c>
    </row>
    <row r="29" spans="1:18" ht="38.25" x14ac:dyDescent="0.25">
      <c r="B29" s="371"/>
      <c r="C29" s="131" t="s">
        <v>197</v>
      </c>
      <c r="D29" s="110" t="s">
        <v>89</v>
      </c>
      <c r="E29" s="113" t="s">
        <v>90</v>
      </c>
      <c r="F29" s="142"/>
      <c r="G29" s="115">
        <f>G26*4</f>
        <v>1344.3251604781692</v>
      </c>
      <c r="H29" s="115">
        <f>G29</f>
        <v>1344.3251604781692</v>
      </c>
      <c r="I29" s="166" t="s">
        <v>783</v>
      </c>
      <c r="J29" s="112"/>
      <c r="K29" s="112">
        <f t="shared" si="0"/>
        <v>0</v>
      </c>
      <c r="L29" s="112">
        <f t="shared" si="1"/>
        <v>0</v>
      </c>
      <c r="M29" s="112"/>
      <c r="N29" s="112">
        <f t="shared" si="2"/>
        <v>0</v>
      </c>
      <c r="O29" s="112">
        <f t="shared" si="3"/>
        <v>0</v>
      </c>
      <c r="P29" s="112"/>
      <c r="Q29" s="112">
        <f t="shared" si="4"/>
        <v>0</v>
      </c>
      <c r="R29" s="112">
        <f t="shared" si="5"/>
        <v>0</v>
      </c>
    </row>
    <row r="30" spans="1:18" ht="38.25" x14ac:dyDescent="0.25">
      <c r="A30" s="37"/>
      <c r="B30" s="154">
        <v>9</v>
      </c>
      <c r="C30" s="131" t="s">
        <v>671</v>
      </c>
      <c r="D30" s="110" t="s">
        <v>3</v>
      </c>
      <c r="E30" s="113" t="s">
        <v>90</v>
      </c>
      <c r="F30" s="142"/>
      <c r="G30" s="115">
        <f>($G$7/(13/6))*(11/6)</f>
        <v>280.85051437562674</v>
      </c>
      <c r="H30" s="115">
        <f>G30*$H$1</f>
        <v>421.27577156344012</v>
      </c>
      <c r="I30" s="166" t="s">
        <v>717</v>
      </c>
      <c r="J30" s="112"/>
      <c r="K30" s="112">
        <f t="shared" si="0"/>
        <v>0</v>
      </c>
      <c r="L30" s="112">
        <f t="shared" si="1"/>
        <v>0</v>
      </c>
      <c r="M30" s="112"/>
      <c r="N30" s="112">
        <f t="shared" si="2"/>
        <v>0</v>
      </c>
      <c r="O30" s="112">
        <f t="shared" si="3"/>
        <v>0</v>
      </c>
      <c r="P30" s="112"/>
      <c r="Q30" s="112">
        <f t="shared" si="4"/>
        <v>0</v>
      </c>
      <c r="R30" s="112">
        <f t="shared" si="5"/>
        <v>0</v>
      </c>
    </row>
    <row r="31" spans="1:18" ht="25.5" x14ac:dyDescent="0.25">
      <c r="B31" s="369">
        <v>10</v>
      </c>
      <c r="C31" s="131" t="s">
        <v>784</v>
      </c>
      <c r="D31" s="110"/>
      <c r="E31" s="113"/>
      <c r="F31" s="142"/>
      <c r="G31" s="115"/>
      <c r="H31" s="115"/>
      <c r="I31" s="166"/>
      <c r="J31" s="112"/>
      <c r="K31" s="112">
        <f t="shared" si="0"/>
        <v>0</v>
      </c>
      <c r="L31" s="112">
        <f t="shared" si="1"/>
        <v>0</v>
      </c>
      <c r="M31" s="112"/>
      <c r="N31" s="112">
        <f t="shared" si="2"/>
        <v>0</v>
      </c>
      <c r="O31" s="112">
        <f t="shared" si="3"/>
        <v>0</v>
      </c>
      <c r="P31" s="112"/>
      <c r="Q31" s="112">
        <f t="shared" si="4"/>
        <v>0</v>
      </c>
      <c r="R31" s="112">
        <f t="shared" si="5"/>
        <v>0</v>
      </c>
    </row>
    <row r="32" spans="1:18" ht="25.5" x14ac:dyDescent="0.25">
      <c r="B32" s="370"/>
      <c r="C32" s="131" t="s">
        <v>104</v>
      </c>
      <c r="D32" s="110" t="s">
        <v>8</v>
      </c>
      <c r="E32" s="113" t="s">
        <v>90</v>
      </c>
      <c r="F32" s="142"/>
      <c r="G32" s="115">
        <f>(('33KV line labour'!$G$14/(60*13))*(11*37.1))</f>
        <v>662.58345168012181</v>
      </c>
      <c r="H32" s="115">
        <f t="shared" ref="H32:H39" si="6">G32</f>
        <v>662.58345168012181</v>
      </c>
      <c r="I32" s="166" t="s">
        <v>718</v>
      </c>
      <c r="J32" s="112"/>
      <c r="K32" s="112">
        <f t="shared" si="0"/>
        <v>0</v>
      </c>
      <c r="L32" s="112">
        <f t="shared" si="1"/>
        <v>0</v>
      </c>
      <c r="M32" s="112"/>
      <c r="N32" s="112">
        <f t="shared" si="2"/>
        <v>0</v>
      </c>
      <c r="O32" s="112">
        <f t="shared" si="3"/>
        <v>0</v>
      </c>
      <c r="P32" s="112"/>
      <c r="Q32" s="112">
        <f t="shared" si="4"/>
        <v>0</v>
      </c>
      <c r="R32" s="112">
        <f t="shared" si="5"/>
        <v>0</v>
      </c>
    </row>
    <row r="33" spans="1:23" ht="38.25" x14ac:dyDescent="0.25">
      <c r="B33" s="370"/>
      <c r="C33" s="131" t="s">
        <v>12</v>
      </c>
      <c r="D33" s="110" t="s">
        <v>13</v>
      </c>
      <c r="E33" s="113" t="s">
        <v>90</v>
      </c>
      <c r="F33" s="142"/>
      <c r="G33" s="115">
        <f>G32*2</f>
        <v>1325.1669033602436</v>
      </c>
      <c r="H33" s="115">
        <f t="shared" si="6"/>
        <v>1325.1669033602436</v>
      </c>
      <c r="I33" s="166" t="s">
        <v>785</v>
      </c>
      <c r="J33" s="112"/>
      <c r="K33" s="112">
        <f t="shared" si="0"/>
        <v>0</v>
      </c>
      <c r="L33" s="112">
        <f t="shared" si="1"/>
        <v>0</v>
      </c>
      <c r="M33" s="112"/>
      <c r="N33" s="112">
        <f t="shared" si="2"/>
        <v>0</v>
      </c>
      <c r="O33" s="112">
        <f t="shared" si="3"/>
        <v>0</v>
      </c>
      <c r="P33" s="112"/>
      <c r="Q33" s="112">
        <f t="shared" si="4"/>
        <v>0</v>
      </c>
      <c r="R33" s="112">
        <f t="shared" si="5"/>
        <v>0</v>
      </c>
    </row>
    <row r="34" spans="1:23" ht="38.25" x14ac:dyDescent="0.25">
      <c r="B34" s="370"/>
      <c r="C34" s="131" t="s">
        <v>195</v>
      </c>
      <c r="D34" s="110" t="s">
        <v>88</v>
      </c>
      <c r="E34" s="113" t="s">
        <v>90</v>
      </c>
      <c r="F34" s="142"/>
      <c r="G34" s="115">
        <f>G32*3</f>
        <v>1987.7503550403653</v>
      </c>
      <c r="H34" s="115">
        <f t="shared" si="6"/>
        <v>1987.7503550403653</v>
      </c>
      <c r="I34" s="166" t="s">
        <v>786</v>
      </c>
      <c r="J34" s="112"/>
      <c r="K34" s="112">
        <f t="shared" si="0"/>
        <v>0</v>
      </c>
      <c r="L34" s="112">
        <f t="shared" si="1"/>
        <v>0</v>
      </c>
      <c r="M34" s="112"/>
      <c r="N34" s="112">
        <f t="shared" si="2"/>
        <v>0</v>
      </c>
      <c r="O34" s="112">
        <f t="shared" si="3"/>
        <v>0</v>
      </c>
      <c r="P34" s="112"/>
      <c r="Q34" s="112">
        <f t="shared" si="4"/>
        <v>0</v>
      </c>
      <c r="R34" s="112">
        <f t="shared" si="5"/>
        <v>0</v>
      </c>
    </row>
    <row r="35" spans="1:23" ht="38.25" x14ac:dyDescent="0.25">
      <c r="B35" s="371"/>
      <c r="C35" s="131" t="s">
        <v>197</v>
      </c>
      <c r="D35" s="110" t="s">
        <v>89</v>
      </c>
      <c r="E35" s="113" t="s">
        <v>90</v>
      </c>
      <c r="F35" s="142"/>
      <c r="G35" s="115">
        <f>G32*4</f>
        <v>2650.3338067204872</v>
      </c>
      <c r="H35" s="115">
        <f t="shared" si="6"/>
        <v>2650.3338067204872</v>
      </c>
      <c r="I35" s="166" t="s">
        <v>787</v>
      </c>
      <c r="J35" s="112"/>
      <c r="K35" s="112">
        <f t="shared" si="0"/>
        <v>0</v>
      </c>
      <c r="L35" s="112">
        <f t="shared" si="1"/>
        <v>0</v>
      </c>
      <c r="M35" s="112"/>
      <c r="N35" s="112">
        <f t="shared" si="2"/>
        <v>0</v>
      </c>
      <c r="O35" s="112">
        <f t="shared" si="3"/>
        <v>0</v>
      </c>
      <c r="P35" s="112"/>
      <c r="Q35" s="112">
        <f t="shared" si="4"/>
        <v>0</v>
      </c>
      <c r="R35" s="112">
        <f t="shared" si="5"/>
        <v>0</v>
      </c>
    </row>
    <row r="36" spans="1:23" ht="21" customHeight="1" x14ac:dyDescent="0.25">
      <c r="A36" s="7">
        <f>0.0283*20</f>
        <v>0.56599999999999995</v>
      </c>
      <c r="B36" s="369">
        <v>11</v>
      </c>
      <c r="C36" s="372" t="s">
        <v>354</v>
      </c>
      <c r="D36" s="110" t="s">
        <v>350</v>
      </c>
      <c r="E36" s="113">
        <v>1284.256391935</v>
      </c>
      <c r="F36" s="142"/>
      <c r="G36" s="115">
        <f>4428.8*0.0283*20</f>
        <v>2506.7008000000001</v>
      </c>
      <c r="H36" s="115">
        <f t="shared" si="6"/>
        <v>2506.7008000000001</v>
      </c>
      <c r="I36" s="383" t="s">
        <v>358</v>
      </c>
      <c r="J36" s="112">
        <v>11</v>
      </c>
      <c r="K36" s="112">
        <f t="shared" si="0"/>
        <v>27573.7088</v>
      </c>
      <c r="L36" s="112">
        <f t="shared" si="1"/>
        <v>27573.7088</v>
      </c>
      <c r="M36" s="112">
        <v>11</v>
      </c>
      <c r="N36" s="112">
        <f t="shared" si="2"/>
        <v>27573.7088</v>
      </c>
      <c r="O36" s="112">
        <f t="shared" si="3"/>
        <v>27573.7088</v>
      </c>
      <c r="P36" s="112">
        <v>11</v>
      </c>
      <c r="Q36" s="112">
        <f t="shared" si="4"/>
        <v>27573.7088</v>
      </c>
      <c r="R36" s="112">
        <f t="shared" si="5"/>
        <v>27573.7088</v>
      </c>
    </row>
    <row r="37" spans="1:23" ht="21" customHeight="1" x14ac:dyDescent="0.25">
      <c r="B37" s="370"/>
      <c r="C37" s="373"/>
      <c r="D37" s="110" t="s">
        <v>351</v>
      </c>
      <c r="E37" s="113">
        <v>2565.8517047130003</v>
      </c>
      <c r="F37" s="142"/>
      <c r="G37" s="115">
        <f>4428.8*0.0283*40</f>
        <v>5013.4016000000001</v>
      </c>
      <c r="H37" s="115">
        <f t="shared" si="6"/>
        <v>5013.4016000000001</v>
      </c>
      <c r="I37" s="384"/>
      <c r="J37" s="112">
        <v>3</v>
      </c>
      <c r="K37" s="112">
        <f t="shared" si="0"/>
        <v>15040.2048</v>
      </c>
      <c r="L37" s="112">
        <f t="shared" si="1"/>
        <v>15040.2048</v>
      </c>
      <c r="M37" s="112">
        <v>3</v>
      </c>
      <c r="N37" s="112">
        <f t="shared" si="2"/>
        <v>15040.2048</v>
      </c>
      <c r="O37" s="112">
        <f t="shared" si="3"/>
        <v>15040.2048</v>
      </c>
      <c r="P37" s="112">
        <v>3</v>
      </c>
      <c r="Q37" s="112">
        <f t="shared" si="4"/>
        <v>15040.2048</v>
      </c>
      <c r="R37" s="112">
        <f t="shared" si="5"/>
        <v>15040.2048</v>
      </c>
    </row>
    <row r="38" spans="1:23" ht="21" customHeight="1" x14ac:dyDescent="0.25">
      <c r="B38" s="370"/>
      <c r="C38" s="373"/>
      <c r="D38" s="110" t="s">
        <v>352</v>
      </c>
      <c r="E38" s="113" t="s">
        <v>90</v>
      </c>
      <c r="F38" s="142"/>
      <c r="G38" s="115">
        <f>4428.8*0.0283*60</f>
        <v>7520.1024000000007</v>
      </c>
      <c r="H38" s="115">
        <f t="shared" si="6"/>
        <v>7520.1024000000007</v>
      </c>
      <c r="I38" s="384"/>
      <c r="J38" s="112"/>
      <c r="K38" s="112">
        <f t="shared" si="0"/>
        <v>0</v>
      </c>
      <c r="L38" s="112">
        <f t="shared" si="1"/>
        <v>0</v>
      </c>
      <c r="M38" s="112"/>
      <c r="N38" s="112">
        <f t="shared" si="2"/>
        <v>0</v>
      </c>
      <c r="O38" s="112">
        <f t="shared" si="3"/>
        <v>0</v>
      </c>
      <c r="P38" s="112"/>
      <c r="Q38" s="112">
        <f t="shared" si="4"/>
        <v>0</v>
      </c>
      <c r="R38" s="112">
        <f t="shared" si="5"/>
        <v>0</v>
      </c>
    </row>
    <row r="39" spans="1:23" ht="21" customHeight="1" x14ac:dyDescent="0.25">
      <c r="B39" s="371"/>
      <c r="C39" s="374"/>
      <c r="D39" s="110" t="s">
        <v>353</v>
      </c>
      <c r="E39" s="113" t="s">
        <v>90</v>
      </c>
      <c r="F39" s="175"/>
      <c r="G39" s="115">
        <f>4428.8*0.0283*80</f>
        <v>10026.8032</v>
      </c>
      <c r="H39" s="115">
        <f t="shared" si="6"/>
        <v>10026.8032</v>
      </c>
      <c r="I39" s="385"/>
      <c r="J39" s="112"/>
      <c r="K39" s="112">
        <f t="shared" si="0"/>
        <v>0</v>
      </c>
      <c r="L39" s="112">
        <f t="shared" si="1"/>
        <v>0</v>
      </c>
      <c r="M39" s="112"/>
      <c r="N39" s="112">
        <f t="shared" si="2"/>
        <v>0</v>
      </c>
      <c r="O39" s="112">
        <f t="shared" si="3"/>
        <v>0</v>
      </c>
      <c r="P39" s="112"/>
      <c r="Q39" s="112">
        <f t="shared" si="4"/>
        <v>0</v>
      </c>
      <c r="R39" s="112">
        <f t="shared" si="5"/>
        <v>0</v>
      </c>
    </row>
    <row r="40" spans="1:23" ht="25.5" x14ac:dyDescent="0.25">
      <c r="B40" s="150">
        <v>12</v>
      </c>
      <c r="C40" s="131" t="s">
        <v>22</v>
      </c>
      <c r="D40" s="110" t="s">
        <v>3</v>
      </c>
      <c r="E40" s="115">
        <v>167.02761260899999</v>
      </c>
      <c r="F40" s="142">
        <f>'Labour cost Escalation Factor'!$J$10</f>
        <v>0.27984207704983549</v>
      </c>
      <c r="G40" s="176">
        <f>E40*(1+F40)</f>
        <v>213.76896664617786</v>
      </c>
      <c r="H40" s="176">
        <f>G40*$H$1</f>
        <v>320.65344996926677</v>
      </c>
      <c r="I40" s="166" t="s">
        <v>763</v>
      </c>
      <c r="J40" s="112">
        <v>12</v>
      </c>
      <c r="K40" s="112">
        <f t="shared" si="0"/>
        <v>2565.2275997541342</v>
      </c>
      <c r="L40" s="112">
        <f t="shared" si="1"/>
        <v>3847.8413996312011</v>
      </c>
      <c r="M40" s="112">
        <v>12</v>
      </c>
      <c r="N40" s="112">
        <f t="shared" si="2"/>
        <v>2565.2275997541342</v>
      </c>
      <c r="O40" s="112">
        <f t="shared" si="3"/>
        <v>3847.8413996312011</v>
      </c>
      <c r="P40" s="112">
        <v>12</v>
      </c>
      <c r="Q40" s="112">
        <f t="shared" si="4"/>
        <v>2565.2275997541342</v>
      </c>
      <c r="R40" s="112">
        <f t="shared" si="5"/>
        <v>3847.8413996312011</v>
      </c>
      <c r="T40"/>
      <c r="U40"/>
      <c r="V40"/>
      <c r="W40"/>
    </row>
    <row r="41" spans="1:23" ht="38.25" x14ac:dyDescent="0.25">
      <c r="B41" s="150">
        <v>13</v>
      </c>
      <c r="C41" s="131" t="s">
        <v>23</v>
      </c>
      <c r="D41" s="110" t="s">
        <v>7</v>
      </c>
      <c r="E41" s="113">
        <v>356.584607038</v>
      </c>
      <c r="F41" s="142">
        <f>'Labour cost Escalation Factor'!$J$10</f>
        <v>0.27984207704983549</v>
      </c>
      <c r="G41" s="115">
        <f>E41*(1+F41)</f>
        <v>456.37198411551333</v>
      </c>
      <c r="H41" s="115">
        <f>G41</f>
        <v>456.37198411551333</v>
      </c>
      <c r="I41" s="166" t="s">
        <v>763</v>
      </c>
      <c r="J41" s="112">
        <v>12</v>
      </c>
      <c r="K41" s="112">
        <f t="shared" si="0"/>
        <v>5476.4638093861595</v>
      </c>
      <c r="L41" s="112">
        <f t="shared" si="1"/>
        <v>5476.4638093861595</v>
      </c>
      <c r="M41" s="112">
        <v>12</v>
      </c>
      <c r="N41" s="112">
        <f t="shared" si="2"/>
        <v>5476.4638093861595</v>
      </c>
      <c r="O41" s="112">
        <f t="shared" si="3"/>
        <v>5476.4638093861595</v>
      </c>
      <c r="P41" s="112">
        <v>12</v>
      </c>
      <c r="Q41" s="112">
        <f t="shared" si="4"/>
        <v>5476.4638093861595</v>
      </c>
      <c r="R41" s="112">
        <f t="shared" si="5"/>
        <v>5476.4638093861595</v>
      </c>
    </row>
    <row r="42" spans="1:23" ht="89.25" x14ac:dyDescent="0.25">
      <c r="B42" s="150">
        <v>14</v>
      </c>
      <c r="C42" s="131" t="s">
        <v>378</v>
      </c>
      <c r="D42" s="110" t="s">
        <v>644</v>
      </c>
      <c r="E42" s="113">
        <v>498.69929453300006</v>
      </c>
      <c r="F42" s="142"/>
      <c r="G42" s="115">
        <f>4428.8*0.0283*7.5</f>
        <v>940.01280000000008</v>
      </c>
      <c r="H42" s="115">
        <f>G42</f>
        <v>940.01280000000008</v>
      </c>
      <c r="I42" s="166" t="s">
        <v>357</v>
      </c>
      <c r="J42" s="112">
        <v>12</v>
      </c>
      <c r="K42" s="112">
        <f t="shared" si="0"/>
        <v>11280.153600000001</v>
      </c>
      <c r="L42" s="112">
        <f t="shared" si="1"/>
        <v>11280.153600000001</v>
      </c>
      <c r="M42" s="112">
        <v>12</v>
      </c>
      <c r="N42" s="112">
        <f t="shared" si="2"/>
        <v>11280.153600000001</v>
      </c>
      <c r="O42" s="112">
        <f t="shared" si="3"/>
        <v>11280.153600000001</v>
      </c>
      <c r="P42" s="112">
        <v>12</v>
      </c>
      <c r="Q42" s="112">
        <f t="shared" si="4"/>
        <v>11280.153600000001</v>
      </c>
      <c r="R42" s="112">
        <f t="shared" si="5"/>
        <v>11280.153600000001</v>
      </c>
    </row>
    <row r="43" spans="1:23" ht="38.25" customHeight="1" x14ac:dyDescent="0.25">
      <c r="B43" s="150">
        <v>15</v>
      </c>
      <c r="C43" s="131" t="s">
        <v>645</v>
      </c>
      <c r="D43" s="110" t="s">
        <v>157</v>
      </c>
      <c r="E43" s="115">
        <f>65.55*1.2967</f>
        <v>84.998684999999995</v>
      </c>
      <c r="F43" s="142">
        <f>'Labour cost Escalation Factor'!$J$10</f>
        <v>0.27984207704983549</v>
      </c>
      <c r="G43" s="115">
        <f>E43*(1+F43)</f>
        <v>108.78489355690469</v>
      </c>
      <c r="H43" s="115">
        <f>G43</f>
        <v>108.78489355690469</v>
      </c>
      <c r="I43" s="383" t="s">
        <v>766</v>
      </c>
      <c r="J43" s="112">
        <v>11</v>
      </c>
      <c r="K43" s="112">
        <f t="shared" si="0"/>
        <v>1196.6338291259517</v>
      </c>
      <c r="L43" s="112">
        <f t="shared" si="1"/>
        <v>1196.6338291259517</v>
      </c>
      <c r="M43" s="112">
        <v>11</v>
      </c>
      <c r="N43" s="112">
        <f t="shared" si="2"/>
        <v>1196.6338291259517</v>
      </c>
      <c r="O43" s="112">
        <f t="shared" si="3"/>
        <v>1196.6338291259517</v>
      </c>
      <c r="P43" s="112">
        <v>11</v>
      </c>
      <c r="Q43" s="112">
        <f t="shared" si="4"/>
        <v>1196.6338291259517</v>
      </c>
      <c r="R43" s="112">
        <f t="shared" si="5"/>
        <v>1196.6338291259517</v>
      </c>
    </row>
    <row r="44" spans="1:23" x14ac:dyDescent="0.25">
      <c r="B44" s="150">
        <v>16</v>
      </c>
      <c r="C44" s="131" t="s">
        <v>646</v>
      </c>
      <c r="D44" s="110" t="s">
        <v>158</v>
      </c>
      <c r="E44" s="115">
        <f>146.64*1.2967</f>
        <v>190.14808799999997</v>
      </c>
      <c r="F44" s="142">
        <f>'Labour cost Escalation Factor'!$J$10</f>
        <v>0.27984207704983549</v>
      </c>
      <c r="G44" s="115">
        <f>E44*(1+F44)</f>
        <v>243.35952389297486</v>
      </c>
      <c r="H44" s="115">
        <f>G44</f>
        <v>243.35952389297486</v>
      </c>
      <c r="I44" s="384"/>
      <c r="J44" s="112">
        <v>3</v>
      </c>
      <c r="K44" s="112">
        <f t="shared" si="0"/>
        <v>730.07857167892462</v>
      </c>
      <c r="L44" s="112">
        <f t="shared" si="1"/>
        <v>730.07857167892462</v>
      </c>
      <c r="M44" s="112">
        <v>3</v>
      </c>
      <c r="N44" s="112">
        <f t="shared" si="2"/>
        <v>730.07857167892462</v>
      </c>
      <c r="O44" s="112">
        <f t="shared" si="3"/>
        <v>730.07857167892462</v>
      </c>
      <c r="P44" s="112">
        <v>3</v>
      </c>
      <c r="Q44" s="112">
        <f t="shared" si="4"/>
        <v>730.07857167892462</v>
      </c>
      <c r="R44" s="112">
        <f t="shared" si="5"/>
        <v>730.07857167892462</v>
      </c>
    </row>
    <row r="45" spans="1:23" ht="25.5" x14ac:dyDescent="0.25">
      <c r="B45" s="150">
        <v>17</v>
      </c>
      <c r="C45" s="131" t="s">
        <v>647</v>
      </c>
      <c r="D45" s="110" t="s">
        <v>159</v>
      </c>
      <c r="E45" s="115">
        <f>100*1.2967</f>
        <v>129.66999999999999</v>
      </c>
      <c r="F45" s="142">
        <f>'Labour cost Escalation Factor'!$J$10</f>
        <v>0.27984207704983549</v>
      </c>
      <c r="G45" s="115">
        <f>E45*(1+F45)</f>
        <v>165.95712213105216</v>
      </c>
      <c r="H45" s="115">
        <f>G45</f>
        <v>165.95712213105216</v>
      </c>
      <c r="I45" s="385"/>
      <c r="J45" s="112">
        <v>3</v>
      </c>
      <c r="K45" s="112">
        <f t="shared" si="0"/>
        <v>497.87136639315645</v>
      </c>
      <c r="L45" s="112">
        <f t="shared" si="1"/>
        <v>497.87136639315645</v>
      </c>
      <c r="M45" s="112">
        <v>3</v>
      </c>
      <c r="N45" s="112">
        <f t="shared" si="2"/>
        <v>497.87136639315645</v>
      </c>
      <c r="O45" s="112">
        <f t="shared" si="3"/>
        <v>497.87136639315645</v>
      </c>
      <c r="P45" s="112">
        <v>3</v>
      </c>
      <c r="Q45" s="112">
        <f t="shared" si="4"/>
        <v>497.87136639315645</v>
      </c>
      <c r="R45" s="112">
        <f t="shared" si="5"/>
        <v>497.87136639315645</v>
      </c>
    </row>
    <row r="46" spans="1:23" ht="25.5" x14ac:dyDescent="0.25">
      <c r="B46" s="369">
        <v>18</v>
      </c>
      <c r="C46" s="131" t="s">
        <v>156</v>
      </c>
      <c r="D46" s="92"/>
      <c r="E46" s="114"/>
      <c r="F46" s="177"/>
      <c r="G46" s="114"/>
      <c r="H46" s="115"/>
      <c r="I46" s="166"/>
      <c r="J46" s="92"/>
      <c r="K46" s="112">
        <f t="shared" si="0"/>
        <v>0</v>
      </c>
      <c r="L46" s="112">
        <f t="shared" si="1"/>
        <v>0</v>
      </c>
      <c r="M46" s="92"/>
      <c r="N46" s="112">
        <f t="shared" si="2"/>
        <v>0</v>
      </c>
      <c r="O46" s="112">
        <f t="shared" si="3"/>
        <v>0</v>
      </c>
      <c r="P46" s="92"/>
      <c r="Q46" s="112">
        <f t="shared" si="4"/>
        <v>0</v>
      </c>
      <c r="R46" s="112">
        <f t="shared" si="5"/>
        <v>0</v>
      </c>
    </row>
    <row r="47" spans="1:23" ht="25.5" x14ac:dyDescent="0.25">
      <c r="B47" s="370"/>
      <c r="C47" s="131" t="s">
        <v>105</v>
      </c>
      <c r="D47" s="110" t="s">
        <v>8</v>
      </c>
      <c r="E47" s="113">
        <v>123.34020264500001</v>
      </c>
      <c r="F47" s="142">
        <f>'Labour cost Escalation Factor'!$J$10</f>
        <v>0.27984207704983549</v>
      </c>
      <c r="G47" s="115">
        <f>E47*(1+F47)</f>
        <v>157.85598113692441</v>
      </c>
      <c r="H47" s="115">
        <f t="shared" ref="H47:H52" si="7">G47</f>
        <v>157.85598113692441</v>
      </c>
      <c r="I47" s="166" t="s">
        <v>763</v>
      </c>
      <c r="J47" s="112">
        <v>11</v>
      </c>
      <c r="K47" s="112">
        <f t="shared" si="0"/>
        <v>1736.4157925061686</v>
      </c>
      <c r="L47" s="112">
        <f t="shared" si="1"/>
        <v>1736.4157925061686</v>
      </c>
      <c r="M47" s="112">
        <v>11</v>
      </c>
      <c r="N47" s="112">
        <f t="shared" si="2"/>
        <v>1736.4157925061686</v>
      </c>
      <c r="O47" s="112">
        <f t="shared" si="3"/>
        <v>1736.4157925061686</v>
      </c>
      <c r="P47" s="112">
        <v>11</v>
      </c>
      <c r="Q47" s="112">
        <f t="shared" si="4"/>
        <v>1736.4157925061686</v>
      </c>
      <c r="R47" s="112">
        <f t="shared" si="5"/>
        <v>1736.4157925061686</v>
      </c>
    </row>
    <row r="48" spans="1:23" ht="25.5" x14ac:dyDescent="0.25">
      <c r="B48" s="370"/>
      <c r="C48" s="131" t="s">
        <v>73</v>
      </c>
      <c r="D48" s="110" t="s">
        <v>14</v>
      </c>
      <c r="E48" s="113">
        <v>370.00428229599999</v>
      </c>
      <c r="F48" s="142">
        <f>'Labour cost Escalation Factor'!$J$10</f>
        <v>0.27984207704983549</v>
      </c>
      <c r="G48" s="115">
        <f>E48*(1+F48)</f>
        <v>473.5470491710463</v>
      </c>
      <c r="H48" s="115">
        <f t="shared" si="7"/>
        <v>473.5470491710463</v>
      </c>
      <c r="I48" s="166" t="s">
        <v>763</v>
      </c>
      <c r="J48" s="112">
        <v>3</v>
      </c>
      <c r="K48" s="112">
        <f t="shared" si="0"/>
        <v>1420.641147513139</v>
      </c>
      <c r="L48" s="112">
        <f t="shared" si="1"/>
        <v>1420.641147513139</v>
      </c>
      <c r="M48" s="112">
        <v>3</v>
      </c>
      <c r="N48" s="112">
        <f t="shared" si="2"/>
        <v>1420.641147513139</v>
      </c>
      <c r="O48" s="112">
        <f t="shared" si="3"/>
        <v>1420.641147513139</v>
      </c>
      <c r="P48" s="112">
        <v>3</v>
      </c>
      <c r="Q48" s="112">
        <f t="shared" si="4"/>
        <v>1420.641147513139</v>
      </c>
      <c r="R48" s="112">
        <f t="shared" si="5"/>
        <v>1420.641147513139</v>
      </c>
    </row>
    <row r="49" spans="2:21" x14ac:dyDescent="0.25">
      <c r="B49" s="370"/>
      <c r="C49" s="131" t="s">
        <v>199</v>
      </c>
      <c r="D49" s="110" t="s">
        <v>37</v>
      </c>
      <c r="E49" s="113" t="s">
        <v>90</v>
      </c>
      <c r="F49" s="142"/>
      <c r="G49" s="115">
        <f>G48+G47</f>
        <v>631.40303030797077</v>
      </c>
      <c r="H49" s="115">
        <f t="shared" si="7"/>
        <v>631.40303030797077</v>
      </c>
      <c r="I49" s="166" t="s">
        <v>767</v>
      </c>
      <c r="J49" s="112"/>
      <c r="K49" s="112">
        <f t="shared" si="0"/>
        <v>0</v>
      </c>
      <c r="L49" s="112">
        <f t="shared" si="1"/>
        <v>0</v>
      </c>
      <c r="M49" s="112"/>
      <c r="N49" s="112">
        <f t="shared" si="2"/>
        <v>0</v>
      </c>
      <c r="O49" s="112">
        <f t="shared" si="3"/>
        <v>0</v>
      </c>
      <c r="P49" s="112"/>
      <c r="Q49" s="112">
        <f t="shared" si="4"/>
        <v>0</v>
      </c>
      <c r="R49" s="112">
        <f t="shared" si="5"/>
        <v>0</v>
      </c>
    </row>
    <row r="50" spans="2:21" x14ac:dyDescent="0.25">
      <c r="B50" s="371"/>
      <c r="C50" s="131" t="s">
        <v>198</v>
      </c>
      <c r="D50" s="110" t="s">
        <v>91</v>
      </c>
      <c r="E50" s="113" t="s">
        <v>90</v>
      </c>
      <c r="F50" s="142"/>
      <c r="G50" s="115">
        <f>G48*2</f>
        <v>947.09409834209259</v>
      </c>
      <c r="H50" s="115">
        <f t="shared" si="7"/>
        <v>947.09409834209259</v>
      </c>
      <c r="I50" s="166" t="s">
        <v>788</v>
      </c>
      <c r="J50" s="112"/>
      <c r="K50" s="112">
        <f t="shared" si="0"/>
        <v>0</v>
      </c>
      <c r="L50" s="112">
        <f t="shared" si="1"/>
        <v>0</v>
      </c>
      <c r="M50" s="112"/>
      <c r="N50" s="112">
        <f t="shared" si="2"/>
        <v>0</v>
      </c>
      <c r="O50" s="112">
        <f t="shared" si="3"/>
        <v>0</v>
      </c>
      <c r="P50" s="112"/>
      <c r="Q50" s="112">
        <f t="shared" si="4"/>
        <v>0</v>
      </c>
      <c r="R50" s="112">
        <f t="shared" si="5"/>
        <v>0</v>
      </c>
    </row>
    <row r="51" spans="2:21" ht="25.5" x14ac:dyDescent="0.25">
      <c r="B51" s="369">
        <v>19</v>
      </c>
      <c r="C51" s="131" t="s">
        <v>106</v>
      </c>
      <c r="D51" s="110" t="s">
        <v>8</v>
      </c>
      <c r="E51" s="115">
        <v>51.474739767000003</v>
      </c>
      <c r="F51" s="142">
        <f>'Labour cost Escalation Factor'!$J$10</f>
        <v>0.27984207704983549</v>
      </c>
      <c r="G51" s="176">
        <f>E51*(1+F51)</f>
        <v>65.879537858997054</v>
      </c>
      <c r="H51" s="115">
        <f t="shared" si="7"/>
        <v>65.879537858997054</v>
      </c>
      <c r="I51" s="166" t="s">
        <v>763</v>
      </c>
      <c r="J51" s="112">
        <v>14</v>
      </c>
      <c r="K51" s="112">
        <f t="shared" si="0"/>
        <v>922.3135300259587</v>
      </c>
      <c r="L51" s="112">
        <f t="shared" si="1"/>
        <v>922.3135300259587</v>
      </c>
      <c r="M51" s="112">
        <v>14</v>
      </c>
      <c r="N51" s="112">
        <f t="shared" si="2"/>
        <v>922.3135300259587</v>
      </c>
      <c r="O51" s="112">
        <f t="shared" si="3"/>
        <v>922.3135300259587</v>
      </c>
      <c r="P51" s="112">
        <v>14</v>
      </c>
      <c r="Q51" s="112">
        <f t="shared" si="4"/>
        <v>922.3135300259587</v>
      </c>
      <c r="R51" s="112">
        <f t="shared" si="5"/>
        <v>922.3135300259587</v>
      </c>
    </row>
    <row r="52" spans="2:21" ht="38.25" x14ac:dyDescent="0.25">
      <c r="B52" s="370"/>
      <c r="C52" s="131" t="s">
        <v>379</v>
      </c>
      <c r="D52" s="110" t="s">
        <v>24</v>
      </c>
      <c r="E52" s="115">
        <v>175.02717571899998</v>
      </c>
      <c r="F52" s="142">
        <f>'Labour cost Escalation Factor'!$J$10</f>
        <v>0.27984207704983549</v>
      </c>
      <c r="G52" s="176">
        <f>E52*(1+F52)</f>
        <v>224.00714411237149</v>
      </c>
      <c r="H52" s="115">
        <f t="shared" si="7"/>
        <v>224.00714411237149</v>
      </c>
      <c r="I52" s="166" t="s">
        <v>763</v>
      </c>
      <c r="J52" s="112">
        <v>3</v>
      </c>
      <c r="K52" s="112">
        <f t="shared" si="0"/>
        <v>672.02143233711445</v>
      </c>
      <c r="L52" s="112">
        <f t="shared" si="1"/>
        <v>672.02143233711445</v>
      </c>
      <c r="M52" s="112">
        <v>3</v>
      </c>
      <c r="N52" s="112">
        <f t="shared" si="2"/>
        <v>672.02143233711445</v>
      </c>
      <c r="O52" s="112">
        <f t="shared" si="3"/>
        <v>672.02143233711445</v>
      </c>
      <c r="P52" s="112">
        <v>3</v>
      </c>
      <c r="Q52" s="112">
        <f t="shared" si="4"/>
        <v>672.02143233711445</v>
      </c>
      <c r="R52" s="112">
        <f t="shared" si="5"/>
        <v>672.02143233711445</v>
      </c>
    </row>
    <row r="53" spans="2:21" ht="25.5" x14ac:dyDescent="0.25">
      <c r="B53" s="369">
        <v>20</v>
      </c>
      <c r="C53" s="131" t="s">
        <v>82</v>
      </c>
      <c r="D53" s="116"/>
      <c r="E53" s="117"/>
      <c r="F53" s="142"/>
      <c r="G53" s="117"/>
      <c r="H53" s="115"/>
      <c r="I53" s="166"/>
      <c r="J53" s="118"/>
      <c r="K53" s="112">
        <f t="shared" si="0"/>
        <v>0</v>
      </c>
      <c r="L53" s="112">
        <f t="shared" si="1"/>
        <v>0</v>
      </c>
      <c r="M53" s="118"/>
      <c r="N53" s="112">
        <f t="shared" si="2"/>
        <v>0</v>
      </c>
      <c r="O53" s="112">
        <f t="shared" si="3"/>
        <v>0</v>
      </c>
      <c r="P53" s="118"/>
      <c r="Q53" s="112">
        <f t="shared" si="4"/>
        <v>0</v>
      </c>
      <c r="R53" s="112">
        <f t="shared" si="5"/>
        <v>0</v>
      </c>
    </row>
    <row r="54" spans="2:21" ht="25.5" x14ac:dyDescent="0.25">
      <c r="B54" s="370"/>
      <c r="C54" s="131" t="s">
        <v>133</v>
      </c>
      <c r="D54" s="110" t="s">
        <v>21</v>
      </c>
      <c r="E54" s="115">
        <v>7470</v>
      </c>
      <c r="F54" s="142">
        <f>'Labour cost Escalation Factor'!$J$10</f>
        <v>0.27984207704983549</v>
      </c>
      <c r="G54" s="176">
        <f>E54*(1+F54)</f>
        <v>9560.4203155622708</v>
      </c>
      <c r="H54" s="115">
        <f>G54</f>
        <v>9560.4203155622708</v>
      </c>
      <c r="I54" s="166" t="s">
        <v>763</v>
      </c>
      <c r="J54" s="112"/>
      <c r="K54" s="112">
        <f t="shared" si="0"/>
        <v>0</v>
      </c>
      <c r="L54" s="112">
        <f t="shared" si="1"/>
        <v>0</v>
      </c>
      <c r="M54" s="112"/>
      <c r="N54" s="112">
        <f t="shared" si="2"/>
        <v>0</v>
      </c>
      <c r="O54" s="112">
        <f t="shared" si="3"/>
        <v>0</v>
      </c>
      <c r="P54" s="112">
        <v>3.18</v>
      </c>
      <c r="Q54" s="112">
        <f t="shared" si="4"/>
        <v>30402.136603488023</v>
      </c>
      <c r="R54" s="112">
        <f t="shared" si="5"/>
        <v>30402.136603488023</v>
      </c>
      <c r="S54" s="37"/>
      <c r="U54" s="37"/>
    </row>
    <row r="55" spans="2:21" ht="25.5" customHeight="1" x14ac:dyDescent="0.25">
      <c r="B55" s="370"/>
      <c r="C55" s="131" t="s">
        <v>138</v>
      </c>
      <c r="D55" s="110" t="s">
        <v>21</v>
      </c>
      <c r="E55" s="113" t="s">
        <v>90</v>
      </c>
      <c r="F55" s="142"/>
      <c r="G55" s="115">
        <f>G54*(727/394)</f>
        <v>17640.674034045103</v>
      </c>
      <c r="H55" s="115">
        <f t="shared" ref="H55:H64" si="8">G55</f>
        <v>17640.674034045103</v>
      </c>
      <c r="I55" s="383" t="s">
        <v>768</v>
      </c>
      <c r="J55" s="112"/>
      <c r="K55" s="112">
        <f t="shared" si="0"/>
        <v>0</v>
      </c>
      <c r="L55" s="112">
        <f t="shared" si="1"/>
        <v>0</v>
      </c>
      <c r="M55" s="112">
        <v>3.18</v>
      </c>
      <c r="N55" s="112">
        <f t="shared" si="2"/>
        <v>56097.343428263433</v>
      </c>
      <c r="O55" s="112">
        <f t="shared" si="3"/>
        <v>56097.343428263433</v>
      </c>
      <c r="P55" s="112"/>
      <c r="Q55" s="112">
        <f t="shared" si="4"/>
        <v>0</v>
      </c>
      <c r="R55" s="112">
        <f t="shared" si="5"/>
        <v>0</v>
      </c>
    </row>
    <row r="56" spans="2:21" x14ac:dyDescent="0.25">
      <c r="B56" s="371"/>
      <c r="C56" s="131" t="s">
        <v>136</v>
      </c>
      <c r="D56" s="110" t="s">
        <v>21</v>
      </c>
      <c r="E56" s="113" t="s">
        <v>90</v>
      </c>
      <c r="F56" s="142"/>
      <c r="G56" s="115">
        <f>G54*(975/394)</f>
        <v>23658.400527089376</v>
      </c>
      <c r="H56" s="115">
        <f t="shared" si="8"/>
        <v>23658.400527089376</v>
      </c>
      <c r="I56" s="385"/>
      <c r="J56" s="112">
        <v>3.177</v>
      </c>
      <c r="K56" s="112">
        <f t="shared" si="0"/>
        <v>75162.738474562953</v>
      </c>
      <c r="L56" s="112">
        <f t="shared" si="1"/>
        <v>75162.738474562953</v>
      </c>
      <c r="M56" s="112"/>
      <c r="N56" s="112">
        <f t="shared" si="2"/>
        <v>0</v>
      </c>
      <c r="O56" s="112">
        <f t="shared" si="3"/>
        <v>0</v>
      </c>
      <c r="P56" s="112"/>
      <c r="Q56" s="112">
        <f t="shared" si="4"/>
        <v>0</v>
      </c>
      <c r="R56" s="112">
        <f t="shared" si="5"/>
        <v>0</v>
      </c>
    </row>
    <row r="57" spans="2:21" ht="38.25" x14ac:dyDescent="0.25">
      <c r="B57" s="369">
        <v>21</v>
      </c>
      <c r="C57" s="131" t="s">
        <v>161</v>
      </c>
      <c r="D57" s="110" t="s">
        <v>160</v>
      </c>
      <c r="E57" s="113" t="s">
        <v>90</v>
      </c>
      <c r="F57" s="178"/>
      <c r="G57" s="115">
        <f>G54*1.5</f>
        <v>14340.630473343406</v>
      </c>
      <c r="H57" s="115">
        <f t="shared" si="8"/>
        <v>14340.630473343406</v>
      </c>
      <c r="I57" s="383" t="s">
        <v>648</v>
      </c>
      <c r="J57" s="112"/>
      <c r="K57" s="112">
        <f t="shared" si="0"/>
        <v>0</v>
      </c>
      <c r="L57" s="112">
        <f t="shared" si="1"/>
        <v>0</v>
      </c>
      <c r="M57" s="112"/>
      <c r="N57" s="112">
        <f t="shared" si="2"/>
        <v>0</v>
      </c>
      <c r="O57" s="112">
        <f t="shared" si="3"/>
        <v>0</v>
      </c>
      <c r="P57" s="112"/>
      <c r="Q57" s="112">
        <f t="shared" si="4"/>
        <v>0</v>
      </c>
      <c r="R57" s="112">
        <f t="shared" si="5"/>
        <v>0</v>
      </c>
    </row>
    <row r="58" spans="2:21" ht="38.25" x14ac:dyDescent="0.25">
      <c r="B58" s="370"/>
      <c r="C58" s="131" t="s">
        <v>162</v>
      </c>
      <c r="D58" s="110" t="s">
        <v>160</v>
      </c>
      <c r="E58" s="113" t="s">
        <v>90</v>
      </c>
      <c r="F58" s="142"/>
      <c r="G58" s="115">
        <f>G55*1.5</f>
        <v>26461.011051067653</v>
      </c>
      <c r="H58" s="115">
        <f t="shared" si="8"/>
        <v>26461.011051067653</v>
      </c>
      <c r="I58" s="384"/>
      <c r="J58" s="112"/>
      <c r="K58" s="112">
        <f t="shared" si="0"/>
        <v>0</v>
      </c>
      <c r="L58" s="112">
        <f t="shared" si="1"/>
        <v>0</v>
      </c>
      <c r="M58" s="112"/>
      <c r="N58" s="112">
        <f t="shared" si="2"/>
        <v>0</v>
      </c>
      <c r="O58" s="112">
        <f t="shared" si="3"/>
        <v>0</v>
      </c>
      <c r="P58" s="112"/>
      <c r="Q58" s="112">
        <f t="shared" si="4"/>
        <v>0</v>
      </c>
      <c r="R58" s="112">
        <f t="shared" si="5"/>
        <v>0</v>
      </c>
    </row>
    <row r="59" spans="2:21" ht="38.25" x14ac:dyDescent="0.25">
      <c r="B59" s="371"/>
      <c r="C59" s="131" t="s">
        <v>163</v>
      </c>
      <c r="D59" s="110" t="s">
        <v>160</v>
      </c>
      <c r="E59" s="113" t="s">
        <v>90</v>
      </c>
      <c r="F59" s="142"/>
      <c r="G59" s="115">
        <f>G56*1.5</f>
        <v>35487.600790634067</v>
      </c>
      <c r="H59" s="115">
        <f t="shared" si="8"/>
        <v>35487.600790634067</v>
      </c>
      <c r="I59" s="385"/>
      <c r="J59" s="112"/>
      <c r="K59" s="112">
        <f t="shared" si="0"/>
        <v>0</v>
      </c>
      <c r="L59" s="112">
        <f t="shared" si="1"/>
        <v>0</v>
      </c>
      <c r="M59" s="112"/>
      <c r="N59" s="112">
        <f t="shared" si="2"/>
        <v>0</v>
      </c>
      <c r="O59" s="112">
        <f t="shared" si="3"/>
        <v>0</v>
      </c>
      <c r="P59" s="112"/>
      <c r="Q59" s="112">
        <f t="shared" si="4"/>
        <v>0</v>
      </c>
      <c r="R59" s="112">
        <f t="shared" si="5"/>
        <v>0</v>
      </c>
    </row>
    <row r="60" spans="2:21" ht="25.5" x14ac:dyDescent="0.25">
      <c r="B60" s="369">
        <v>22</v>
      </c>
      <c r="C60" s="131" t="s">
        <v>164</v>
      </c>
      <c r="D60" s="110" t="s">
        <v>160</v>
      </c>
      <c r="E60" s="113" t="s">
        <v>90</v>
      </c>
      <c r="F60" s="142"/>
      <c r="G60" s="115">
        <f>G54*2</f>
        <v>19120.840631124542</v>
      </c>
      <c r="H60" s="115">
        <f t="shared" si="8"/>
        <v>19120.840631124542</v>
      </c>
      <c r="I60" s="383" t="s">
        <v>649</v>
      </c>
      <c r="J60" s="112"/>
      <c r="K60" s="112">
        <f t="shared" si="0"/>
        <v>0</v>
      </c>
      <c r="L60" s="112">
        <f t="shared" si="1"/>
        <v>0</v>
      </c>
      <c r="M60" s="112"/>
      <c r="N60" s="112">
        <f t="shared" si="2"/>
        <v>0</v>
      </c>
      <c r="O60" s="112">
        <f t="shared" si="3"/>
        <v>0</v>
      </c>
      <c r="P60" s="112"/>
      <c r="Q60" s="112">
        <f t="shared" si="4"/>
        <v>0</v>
      </c>
      <c r="R60" s="112">
        <f t="shared" si="5"/>
        <v>0</v>
      </c>
    </row>
    <row r="61" spans="2:21" ht="25.5" x14ac:dyDescent="0.25">
      <c r="B61" s="370"/>
      <c r="C61" s="131" t="s">
        <v>165</v>
      </c>
      <c r="D61" s="110" t="s">
        <v>160</v>
      </c>
      <c r="E61" s="113" t="s">
        <v>90</v>
      </c>
      <c r="F61" s="142"/>
      <c r="G61" s="115">
        <f>G55*2</f>
        <v>35281.348068090207</v>
      </c>
      <c r="H61" s="115">
        <f t="shared" si="8"/>
        <v>35281.348068090207</v>
      </c>
      <c r="I61" s="384"/>
      <c r="J61" s="112"/>
      <c r="K61" s="112">
        <f t="shared" si="0"/>
        <v>0</v>
      </c>
      <c r="L61" s="112">
        <f t="shared" si="1"/>
        <v>0</v>
      </c>
      <c r="M61" s="112"/>
      <c r="N61" s="112">
        <f t="shared" si="2"/>
        <v>0</v>
      </c>
      <c r="O61" s="112">
        <f t="shared" si="3"/>
        <v>0</v>
      </c>
      <c r="P61" s="112"/>
      <c r="Q61" s="112">
        <f t="shared" si="4"/>
        <v>0</v>
      </c>
      <c r="R61" s="112">
        <f t="shared" si="5"/>
        <v>0</v>
      </c>
    </row>
    <row r="62" spans="2:21" ht="25.5" x14ac:dyDescent="0.25">
      <c r="B62" s="371"/>
      <c r="C62" s="131" t="s">
        <v>166</v>
      </c>
      <c r="D62" s="110" t="s">
        <v>160</v>
      </c>
      <c r="E62" s="113" t="s">
        <v>90</v>
      </c>
      <c r="F62" s="142"/>
      <c r="G62" s="115">
        <f>G56*2</f>
        <v>47316.801054178752</v>
      </c>
      <c r="H62" s="115">
        <f t="shared" si="8"/>
        <v>47316.801054178752</v>
      </c>
      <c r="I62" s="385"/>
      <c r="J62" s="112"/>
      <c r="K62" s="112">
        <f t="shared" si="0"/>
        <v>0</v>
      </c>
      <c r="L62" s="112">
        <f t="shared" si="1"/>
        <v>0</v>
      </c>
      <c r="M62" s="112"/>
      <c r="N62" s="112">
        <f t="shared" si="2"/>
        <v>0</v>
      </c>
      <c r="O62" s="112">
        <f t="shared" si="3"/>
        <v>0</v>
      </c>
      <c r="P62" s="112"/>
      <c r="Q62" s="112">
        <f t="shared" si="4"/>
        <v>0</v>
      </c>
      <c r="R62" s="112">
        <f t="shared" si="5"/>
        <v>0</v>
      </c>
    </row>
    <row r="63" spans="2:21" ht="25.5" x14ac:dyDescent="0.25">
      <c r="B63" s="150">
        <v>23</v>
      </c>
      <c r="C63" s="133" t="s">
        <v>172</v>
      </c>
      <c r="D63" s="110" t="s">
        <v>8</v>
      </c>
      <c r="E63" s="115">
        <v>51.474739767000003</v>
      </c>
      <c r="F63" s="142">
        <f>'Labour cost Escalation Factor'!$J$10</f>
        <v>0.27984207704983549</v>
      </c>
      <c r="G63" s="176">
        <f t="shared" ref="G63:G72" si="9">E63*(1+F63)</f>
        <v>65.879537858997054</v>
      </c>
      <c r="H63" s="115">
        <f t="shared" si="8"/>
        <v>65.879537858997054</v>
      </c>
      <c r="I63" s="166" t="s">
        <v>763</v>
      </c>
      <c r="J63" s="112">
        <v>14</v>
      </c>
      <c r="K63" s="112">
        <f t="shared" si="0"/>
        <v>922.3135300259587</v>
      </c>
      <c r="L63" s="112">
        <f t="shared" si="1"/>
        <v>922.3135300259587</v>
      </c>
      <c r="M63" s="112">
        <v>14</v>
      </c>
      <c r="N63" s="112">
        <f t="shared" si="2"/>
        <v>922.3135300259587</v>
      </c>
      <c r="O63" s="112">
        <f t="shared" si="3"/>
        <v>922.3135300259587</v>
      </c>
      <c r="P63" s="112">
        <v>14</v>
      </c>
      <c r="Q63" s="112">
        <f t="shared" si="4"/>
        <v>922.3135300259587</v>
      </c>
      <c r="R63" s="112">
        <f t="shared" si="5"/>
        <v>922.3135300259587</v>
      </c>
    </row>
    <row r="64" spans="2:21" ht="38.25" x14ac:dyDescent="0.25">
      <c r="B64" s="150">
        <v>24</v>
      </c>
      <c r="C64" s="133" t="s">
        <v>173</v>
      </c>
      <c r="D64" s="110" t="s">
        <v>14</v>
      </c>
      <c r="E64" s="113">
        <v>96.51717776800001</v>
      </c>
      <c r="F64" s="142">
        <f>'Labour cost Escalation Factor'!$J$10</f>
        <v>0.27984207704983549</v>
      </c>
      <c r="G64" s="115">
        <f t="shared" si="9"/>
        <v>123.52674526558535</v>
      </c>
      <c r="H64" s="115">
        <f t="shared" si="8"/>
        <v>123.52674526558535</v>
      </c>
      <c r="I64" s="166" t="s">
        <v>763</v>
      </c>
      <c r="J64" s="112">
        <v>3</v>
      </c>
      <c r="K64" s="112">
        <f t="shared" si="0"/>
        <v>370.58023579675603</v>
      </c>
      <c r="L64" s="112">
        <f t="shared" si="1"/>
        <v>370.58023579675603</v>
      </c>
      <c r="M64" s="112">
        <v>3</v>
      </c>
      <c r="N64" s="112">
        <f t="shared" si="2"/>
        <v>370.58023579675603</v>
      </c>
      <c r="O64" s="112">
        <f t="shared" si="3"/>
        <v>370.58023579675603</v>
      </c>
      <c r="P64" s="112">
        <v>3</v>
      </c>
      <c r="Q64" s="112">
        <f t="shared" si="4"/>
        <v>370.58023579675603</v>
      </c>
      <c r="R64" s="112">
        <f t="shared" si="5"/>
        <v>370.58023579675603</v>
      </c>
    </row>
    <row r="65" spans="2:18" ht="38.25" x14ac:dyDescent="0.25">
      <c r="B65" s="150">
        <v>25</v>
      </c>
      <c r="C65" s="135" t="s">
        <v>130</v>
      </c>
      <c r="D65" s="110" t="s">
        <v>25</v>
      </c>
      <c r="E65" s="113">
        <v>412.89173594900001</v>
      </c>
      <c r="F65" s="142">
        <f>'Labour cost Escalation Factor'!$J$10</f>
        <v>0.27984207704983549</v>
      </c>
      <c r="G65" s="115">
        <f t="shared" si="9"/>
        <v>528.43621693368038</v>
      </c>
      <c r="H65" s="115">
        <f>G65*$H$1</f>
        <v>792.65432540052052</v>
      </c>
      <c r="I65" s="166" t="s">
        <v>763</v>
      </c>
      <c r="J65" s="112">
        <v>17</v>
      </c>
      <c r="K65" s="112">
        <f t="shared" si="0"/>
        <v>8983.4156878725662</v>
      </c>
      <c r="L65" s="112">
        <f t="shared" si="1"/>
        <v>13475.123531808849</v>
      </c>
      <c r="M65" s="112">
        <v>17</v>
      </c>
      <c r="N65" s="112">
        <f t="shared" si="2"/>
        <v>8983.4156878725662</v>
      </c>
      <c r="O65" s="112">
        <f t="shared" si="3"/>
        <v>13475.123531808849</v>
      </c>
      <c r="P65" s="112">
        <v>17</v>
      </c>
      <c r="Q65" s="112">
        <f t="shared" si="4"/>
        <v>8983.4156878725662</v>
      </c>
      <c r="R65" s="112">
        <f t="shared" si="5"/>
        <v>13475.123531808849</v>
      </c>
    </row>
    <row r="66" spans="2:18" ht="38.25" x14ac:dyDescent="0.25">
      <c r="B66" s="150">
        <v>26</v>
      </c>
      <c r="C66" s="131" t="s">
        <v>178</v>
      </c>
      <c r="D66" s="110" t="s">
        <v>21</v>
      </c>
      <c r="E66" s="113">
        <v>1959.9092875889999</v>
      </c>
      <c r="F66" s="142">
        <f>'Labour cost Escalation Factor'!$J$10</f>
        <v>0.27984207704983549</v>
      </c>
      <c r="G66" s="115">
        <f t="shared" si="9"/>
        <v>2508.374373457169</v>
      </c>
      <c r="H66" s="115">
        <f t="shared" ref="H66:H82" si="10">G66</f>
        <v>2508.374373457169</v>
      </c>
      <c r="I66" s="166" t="s">
        <v>763</v>
      </c>
      <c r="J66" s="112">
        <v>3.177</v>
      </c>
      <c r="K66" s="112">
        <f t="shared" si="0"/>
        <v>7969.1053844734261</v>
      </c>
      <c r="L66" s="112">
        <f t="shared" si="1"/>
        <v>7969.1053844734261</v>
      </c>
      <c r="M66" s="112">
        <v>3.18</v>
      </c>
      <c r="N66" s="112">
        <f t="shared" si="2"/>
        <v>7976.630507593798</v>
      </c>
      <c r="O66" s="112">
        <f t="shared" si="3"/>
        <v>7976.630507593798</v>
      </c>
      <c r="P66" s="112">
        <v>3.18</v>
      </c>
      <c r="Q66" s="112">
        <f t="shared" si="4"/>
        <v>7976.630507593798</v>
      </c>
      <c r="R66" s="112">
        <f t="shared" si="5"/>
        <v>7976.630507593798</v>
      </c>
    </row>
    <row r="67" spans="2:18" ht="25.5" x14ac:dyDescent="0.25">
      <c r="B67" s="150">
        <v>27</v>
      </c>
      <c r="C67" s="131" t="s">
        <v>650</v>
      </c>
      <c r="D67" s="110" t="s">
        <v>175</v>
      </c>
      <c r="E67" s="113">
        <v>26.806699238000004</v>
      </c>
      <c r="F67" s="142">
        <f>'Labour cost Escalation Factor'!$J$10</f>
        <v>0.27984207704983549</v>
      </c>
      <c r="G67" s="115">
        <f t="shared" si="9"/>
        <v>34.308341631612166</v>
      </c>
      <c r="H67" s="115">
        <f>G67</f>
        <v>34.308341631612166</v>
      </c>
      <c r="I67" s="166" t="s">
        <v>763</v>
      </c>
      <c r="J67" s="112">
        <v>17</v>
      </c>
      <c r="K67" s="112">
        <f t="shared" si="0"/>
        <v>583.24180773740682</v>
      </c>
      <c r="L67" s="112">
        <f t="shared" si="1"/>
        <v>583.24180773740682</v>
      </c>
      <c r="M67" s="112">
        <v>17</v>
      </c>
      <c r="N67" s="112">
        <f t="shared" si="2"/>
        <v>583.24180773740682</v>
      </c>
      <c r="O67" s="112">
        <f t="shared" si="3"/>
        <v>583.24180773740682</v>
      </c>
      <c r="P67" s="112">
        <v>17</v>
      </c>
      <c r="Q67" s="112">
        <f t="shared" si="4"/>
        <v>583.24180773740682</v>
      </c>
      <c r="R67" s="112">
        <f t="shared" si="5"/>
        <v>583.24180773740682</v>
      </c>
    </row>
    <row r="68" spans="2:18" ht="25.5" x14ac:dyDescent="0.25">
      <c r="B68" s="150">
        <v>28</v>
      </c>
      <c r="C68" s="131" t="s">
        <v>355</v>
      </c>
      <c r="D68" s="110" t="s">
        <v>651</v>
      </c>
      <c r="E68" s="113">
        <f>10.725944823*3.2</f>
        <v>34.323023433600007</v>
      </c>
      <c r="F68" s="142">
        <f>'Labour cost Escalation Factor'!$J$10</f>
        <v>0.27984207704983549</v>
      </c>
      <c r="G68" s="115">
        <f t="shared" si="9"/>
        <v>43.928049601888809</v>
      </c>
      <c r="H68" s="115">
        <f>G68</f>
        <v>43.928049601888809</v>
      </c>
      <c r="I68" s="166" t="s">
        <v>763</v>
      </c>
      <c r="J68" s="112">
        <v>400</v>
      </c>
      <c r="K68" s="112">
        <f t="shared" si="0"/>
        <v>17571.219840755522</v>
      </c>
      <c r="L68" s="112">
        <f t="shared" si="1"/>
        <v>17571.219840755522</v>
      </c>
      <c r="M68" s="112">
        <v>400</v>
      </c>
      <c r="N68" s="112">
        <f t="shared" si="2"/>
        <v>17571.219840755522</v>
      </c>
      <c r="O68" s="112">
        <f t="shared" si="3"/>
        <v>17571.219840755522</v>
      </c>
      <c r="P68" s="112">
        <v>400</v>
      </c>
      <c r="Q68" s="112">
        <f t="shared" si="4"/>
        <v>17571.219840755522</v>
      </c>
      <c r="R68" s="112">
        <f t="shared" si="5"/>
        <v>17571.219840755522</v>
      </c>
    </row>
    <row r="69" spans="2:18" ht="25.5" x14ac:dyDescent="0.25">
      <c r="B69" s="179">
        <v>29</v>
      </c>
      <c r="C69" s="143" t="s">
        <v>27</v>
      </c>
      <c r="D69" s="180" t="s">
        <v>28</v>
      </c>
      <c r="E69" s="113">
        <v>85.79123294499999</v>
      </c>
      <c r="F69" s="142">
        <f>'Labour cost Escalation Factor'!$J$10</f>
        <v>0.27984207704983549</v>
      </c>
      <c r="G69" s="115">
        <f t="shared" si="9"/>
        <v>109.79922976499506</v>
      </c>
      <c r="H69" s="115">
        <f t="shared" si="10"/>
        <v>109.79922976499506</v>
      </c>
      <c r="I69" s="166" t="s">
        <v>763</v>
      </c>
      <c r="J69" s="112"/>
      <c r="K69" s="112">
        <f t="shared" si="0"/>
        <v>0</v>
      </c>
      <c r="L69" s="112">
        <f t="shared" si="1"/>
        <v>0</v>
      </c>
      <c r="M69" s="112"/>
      <c r="N69" s="112">
        <f t="shared" si="2"/>
        <v>0</v>
      </c>
      <c r="O69" s="112">
        <f t="shared" si="3"/>
        <v>0</v>
      </c>
      <c r="P69" s="112"/>
      <c r="Q69" s="112">
        <f t="shared" si="4"/>
        <v>0</v>
      </c>
      <c r="R69" s="112">
        <f t="shared" si="5"/>
        <v>0</v>
      </c>
    </row>
    <row r="70" spans="2:18" ht="25.5" x14ac:dyDescent="0.25">
      <c r="B70" s="179">
        <v>30</v>
      </c>
      <c r="C70" s="143" t="s">
        <v>79</v>
      </c>
      <c r="D70" s="180" t="s">
        <v>29</v>
      </c>
      <c r="E70" s="113">
        <v>21.451889646000001</v>
      </c>
      <c r="F70" s="142">
        <f>'Labour cost Escalation Factor'!$J$10</f>
        <v>0.27984207704983549</v>
      </c>
      <c r="G70" s="115">
        <f t="shared" si="9"/>
        <v>27.455031001180505</v>
      </c>
      <c r="H70" s="115">
        <f t="shared" si="10"/>
        <v>27.455031001180505</v>
      </c>
      <c r="I70" s="166" t="s">
        <v>763</v>
      </c>
      <c r="J70" s="112"/>
      <c r="K70" s="112">
        <f t="shared" si="0"/>
        <v>0</v>
      </c>
      <c r="L70" s="112">
        <f t="shared" si="1"/>
        <v>0</v>
      </c>
      <c r="M70" s="112"/>
      <c r="N70" s="112">
        <f t="shared" si="2"/>
        <v>0</v>
      </c>
      <c r="O70" s="112">
        <f t="shared" si="3"/>
        <v>0</v>
      </c>
      <c r="P70" s="112"/>
      <c r="Q70" s="112">
        <f t="shared" si="4"/>
        <v>0</v>
      </c>
      <c r="R70" s="112">
        <f t="shared" si="5"/>
        <v>0</v>
      </c>
    </row>
    <row r="71" spans="2:18" ht="25.5" x14ac:dyDescent="0.25">
      <c r="B71" s="179">
        <v>31</v>
      </c>
      <c r="C71" s="143" t="s">
        <v>30</v>
      </c>
      <c r="D71" s="180" t="s">
        <v>31</v>
      </c>
      <c r="E71" s="113">
        <v>26.806699238000004</v>
      </c>
      <c r="F71" s="142">
        <f>'Labour cost Escalation Factor'!$J$10</f>
        <v>0.27984207704983549</v>
      </c>
      <c r="G71" s="115">
        <f t="shared" si="9"/>
        <v>34.308341631612166</v>
      </c>
      <c r="H71" s="115">
        <f t="shared" si="10"/>
        <v>34.308341631612166</v>
      </c>
      <c r="I71" s="166" t="s">
        <v>763</v>
      </c>
      <c r="J71" s="112"/>
      <c r="K71" s="112">
        <f t="shared" ref="K71:K82" si="11">J71*$G71</f>
        <v>0</v>
      </c>
      <c r="L71" s="112">
        <f t="shared" ref="L71:L82" si="12">J71*$H71</f>
        <v>0</v>
      </c>
      <c r="M71" s="112"/>
      <c r="N71" s="112">
        <f t="shared" ref="N71:N82" si="13">M71*$G71</f>
        <v>0</v>
      </c>
      <c r="O71" s="112">
        <f t="shared" ref="O71:O82" si="14">M71*$H71</f>
        <v>0</v>
      </c>
      <c r="P71" s="112"/>
      <c r="Q71" s="112">
        <f t="shared" ref="Q71:Q82" si="15">P71*$G71</f>
        <v>0</v>
      </c>
      <c r="R71" s="112">
        <f t="shared" ref="R71:R82" si="16">P71*$H71</f>
        <v>0</v>
      </c>
    </row>
    <row r="72" spans="2:18" ht="25.5" x14ac:dyDescent="0.25">
      <c r="B72" s="179">
        <v>32</v>
      </c>
      <c r="C72" s="143" t="s">
        <v>32</v>
      </c>
      <c r="D72" s="180" t="s">
        <v>33</v>
      </c>
      <c r="E72" s="113">
        <v>26.806699238000004</v>
      </c>
      <c r="F72" s="142">
        <f>'Labour cost Escalation Factor'!$J$10</f>
        <v>0.27984207704983549</v>
      </c>
      <c r="G72" s="115">
        <f t="shared" si="9"/>
        <v>34.308341631612166</v>
      </c>
      <c r="H72" s="115">
        <f t="shared" si="10"/>
        <v>34.308341631612166</v>
      </c>
      <c r="I72" s="166" t="s">
        <v>763</v>
      </c>
      <c r="J72" s="112">
        <v>17</v>
      </c>
      <c r="K72" s="112">
        <f t="shared" si="11"/>
        <v>583.24180773740682</v>
      </c>
      <c r="L72" s="112">
        <f t="shared" si="12"/>
        <v>583.24180773740682</v>
      </c>
      <c r="M72" s="112">
        <v>17</v>
      </c>
      <c r="N72" s="112">
        <f t="shared" si="13"/>
        <v>583.24180773740682</v>
      </c>
      <c r="O72" s="112">
        <f t="shared" si="14"/>
        <v>583.24180773740682</v>
      </c>
      <c r="P72" s="112">
        <v>17</v>
      </c>
      <c r="Q72" s="112">
        <f t="shared" si="15"/>
        <v>583.24180773740682</v>
      </c>
      <c r="R72" s="112">
        <f t="shared" si="16"/>
        <v>583.24180773740682</v>
      </c>
    </row>
    <row r="73" spans="2:18" x14ac:dyDescent="0.25">
      <c r="B73" s="179">
        <v>33</v>
      </c>
      <c r="C73" s="143" t="s">
        <v>86</v>
      </c>
      <c r="D73" s="180" t="s">
        <v>87</v>
      </c>
      <c r="E73" s="117" t="s">
        <v>90</v>
      </c>
      <c r="F73" s="142"/>
      <c r="G73" s="113">
        <v>10</v>
      </c>
      <c r="H73" s="115">
        <f t="shared" si="10"/>
        <v>10</v>
      </c>
      <c r="I73" s="166"/>
      <c r="J73" s="111">
        <v>17</v>
      </c>
      <c r="K73" s="112">
        <f t="shared" si="11"/>
        <v>170</v>
      </c>
      <c r="L73" s="112">
        <f t="shared" si="12"/>
        <v>170</v>
      </c>
      <c r="M73" s="111">
        <v>17</v>
      </c>
      <c r="N73" s="112">
        <f t="shared" si="13"/>
        <v>170</v>
      </c>
      <c r="O73" s="112">
        <f t="shared" si="14"/>
        <v>170</v>
      </c>
      <c r="P73" s="111">
        <v>17</v>
      </c>
      <c r="Q73" s="112">
        <f t="shared" si="15"/>
        <v>170</v>
      </c>
      <c r="R73" s="112">
        <f t="shared" si="16"/>
        <v>170</v>
      </c>
    </row>
    <row r="74" spans="2:18" ht="25.5" x14ac:dyDescent="0.25">
      <c r="B74" s="179">
        <v>34</v>
      </c>
      <c r="C74" s="143" t="s">
        <v>652</v>
      </c>
      <c r="D74" s="180" t="s">
        <v>31</v>
      </c>
      <c r="E74" s="117" t="s">
        <v>90</v>
      </c>
      <c r="F74" s="142"/>
      <c r="G74" s="113">
        <f>G71</f>
        <v>34.308341631612166</v>
      </c>
      <c r="H74" s="115">
        <f t="shared" si="10"/>
        <v>34.308341631612166</v>
      </c>
      <c r="I74" s="166" t="s">
        <v>769</v>
      </c>
      <c r="J74" s="111">
        <f>6*10</f>
        <v>60</v>
      </c>
      <c r="K74" s="112">
        <f t="shared" si="11"/>
        <v>2058.5004978967299</v>
      </c>
      <c r="L74" s="112">
        <f t="shared" si="12"/>
        <v>2058.5004978967299</v>
      </c>
      <c r="M74" s="111">
        <f>6*10</f>
        <v>60</v>
      </c>
      <c r="N74" s="112">
        <f t="shared" si="13"/>
        <v>2058.5004978967299</v>
      </c>
      <c r="O74" s="112">
        <f t="shared" si="14"/>
        <v>2058.5004978967299</v>
      </c>
      <c r="P74" s="111">
        <f>6*10</f>
        <v>60</v>
      </c>
      <c r="Q74" s="112">
        <f t="shared" si="15"/>
        <v>2058.5004978967299</v>
      </c>
      <c r="R74" s="112">
        <f t="shared" si="16"/>
        <v>2058.5004978967299</v>
      </c>
    </row>
    <row r="75" spans="2:18" ht="25.5" x14ac:dyDescent="0.25">
      <c r="B75" s="179">
        <v>35</v>
      </c>
      <c r="C75" s="135" t="s">
        <v>84</v>
      </c>
      <c r="D75" s="119" t="s">
        <v>85</v>
      </c>
      <c r="E75" s="113">
        <v>34.855239265000002</v>
      </c>
      <c r="F75" s="142">
        <f>'Labour cost Escalation Factor'!$J$10</f>
        <v>0.27984207704983549</v>
      </c>
      <c r="G75" s="115">
        <f t="shared" ref="G75:G81" si="17">E75*(1+F75)</f>
        <v>44.609201816986584</v>
      </c>
      <c r="H75" s="115">
        <f t="shared" si="10"/>
        <v>44.609201816986584</v>
      </c>
      <c r="I75" s="166" t="s">
        <v>763</v>
      </c>
      <c r="J75" s="112">
        <v>11</v>
      </c>
      <c r="K75" s="112">
        <f t="shared" si="11"/>
        <v>490.70121998685244</v>
      </c>
      <c r="L75" s="112">
        <f t="shared" si="12"/>
        <v>490.70121998685244</v>
      </c>
      <c r="M75" s="112">
        <v>11</v>
      </c>
      <c r="N75" s="112">
        <f t="shared" si="13"/>
        <v>490.70121998685244</v>
      </c>
      <c r="O75" s="112">
        <f t="shared" si="14"/>
        <v>490.70121998685244</v>
      </c>
      <c r="P75" s="112">
        <v>11</v>
      </c>
      <c r="Q75" s="112">
        <f t="shared" si="15"/>
        <v>490.70121998685244</v>
      </c>
      <c r="R75" s="112">
        <f t="shared" si="16"/>
        <v>490.70121998685244</v>
      </c>
    </row>
    <row r="76" spans="2:18" ht="25.5" x14ac:dyDescent="0.25">
      <c r="B76" s="179">
        <v>36</v>
      </c>
      <c r="C76" s="143" t="s">
        <v>148</v>
      </c>
      <c r="D76" s="180" t="s">
        <v>8</v>
      </c>
      <c r="E76" s="113">
        <v>101.88831299899998</v>
      </c>
      <c r="F76" s="142">
        <f>'Labour cost Escalation Factor'!$J$10</f>
        <v>0.27984207704983549</v>
      </c>
      <c r="G76" s="115">
        <f t="shared" si="17"/>
        <v>130.4009501357439</v>
      </c>
      <c r="H76" s="115">
        <f t="shared" si="10"/>
        <v>130.4009501357439</v>
      </c>
      <c r="I76" s="166" t="s">
        <v>763</v>
      </c>
      <c r="J76" s="112">
        <v>17</v>
      </c>
      <c r="K76" s="112">
        <f t="shared" si="11"/>
        <v>2216.8161523076465</v>
      </c>
      <c r="L76" s="112">
        <f t="shared" si="12"/>
        <v>2216.8161523076465</v>
      </c>
      <c r="M76" s="112">
        <v>17</v>
      </c>
      <c r="N76" s="112">
        <f t="shared" si="13"/>
        <v>2216.8161523076465</v>
      </c>
      <c r="O76" s="112">
        <f t="shared" si="14"/>
        <v>2216.8161523076465</v>
      </c>
      <c r="P76" s="112">
        <v>17</v>
      </c>
      <c r="Q76" s="112">
        <f t="shared" si="15"/>
        <v>2216.8161523076465</v>
      </c>
      <c r="R76" s="112">
        <f t="shared" si="16"/>
        <v>2216.8161523076465</v>
      </c>
    </row>
    <row r="77" spans="2:18" ht="25.5" x14ac:dyDescent="0.25">
      <c r="B77" s="179">
        <v>37</v>
      </c>
      <c r="C77" s="143" t="s">
        <v>34</v>
      </c>
      <c r="D77" s="180" t="s">
        <v>11</v>
      </c>
      <c r="E77" s="113">
        <v>34.855239265000002</v>
      </c>
      <c r="F77" s="142">
        <f>'Labour cost Escalation Factor'!$J$10</f>
        <v>0.27984207704983549</v>
      </c>
      <c r="G77" s="115">
        <f t="shared" si="17"/>
        <v>44.609201816986584</v>
      </c>
      <c r="H77" s="115">
        <f t="shared" si="10"/>
        <v>44.609201816986584</v>
      </c>
      <c r="I77" s="166" t="s">
        <v>763</v>
      </c>
      <c r="J77" s="112">
        <v>17</v>
      </c>
      <c r="K77" s="112">
        <f t="shared" si="11"/>
        <v>758.35643088877191</v>
      </c>
      <c r="L77" s="112">
        <f t="shared" si="12"/>
        <v>758.35643088877191</v>
      </c>
      <c r="M77" s="112">
        <v>17</v>
      </c>
      <c r="N77" s="112">
        <f t="shared" si="13"/>
        <v>758.35643088877191</v>
      </c>
      <c r="O77" s="112">
        <f t="shared" si="14"/>
        <v>758.35643088877191</v>
      </c>
      <c r="P77" s="112">
        <v>17</v>
      </c>
      <c r="Q77" s="112">
        <f t="shared" si="15"/>
        <v>758.35643088877191</v>
      </c>
      <c r="R77" s="112">
        <f t="shared" si="16"/>
        <v>758.35643088877191</v>
      </c>
    </row>
    <row r="78" spans="2:18" ht="25.5" x14ac:dyDescent="0.25">
      <c r="B78" s="179">
        <v>38</v>
      </c>
      <c r="C78" s="143" t="s">
        <v>35</v>
      </c>
      <c r="D78" s="180" t="s">
        <v>36</v>
      </c>
      <c r="E78" s="113">
        <v>1270.853042316</v>
      </c>
      <c r="F78" s="142">
        <f>'Labour cost Escalation Factor'!$J$10</f>
        <v>0.27984207704983549</v>
      </c>
      <c r="G78" s="115">
        <f t="shared" si="17"/>
        <v>1626.491197302812</v>
      </c>
      <c r="H78" s="115">
        <f t="shared" si="10"/>
        <v>1626.491197302812</v>
      </c>
      <c r="I78" s="166" t="s">
        <v>763</v>
      </c>
      <c r="J78" s="112">
        <v>3</v>
      </c>
      <c r="K78" s="112">
        <f t="shared" si="11"/>
        <v>4879.473591908436</v>
      </c>
      <c r="L78" s="112">
        <f t="shared" si="12"/>
        <v>4879.473591908436</v>
      </c>
      <c r="M78" s="112">
        <v>3</v>
      </c>
      <c r="N78" s="112">
        <f t="shared" si="13"/>
        <v>4879.473591908436</v>
      </c>
      <c r="O78" s="112">
        <f t="shared" si="14"/>
        <v>4879.473591908436</v>
      </c>
      <c r="P78" s="112">
        <v>3</v>
      </c>
      <c r="Q78" s="112">
        <f t="shared" si="15"/>
        <v>4879.473591908436</v>
      </c>
      <c r="R78" s="112">
        <f t="shared" si="16"/>
        <v>4879.473591908436</v>
      </c>
    </row>
    <row r="79" spans="2:18" ht="25.5" x14ac:dyDescent="0.25">
      <c r="B79" s="179">
        <v>39</v>
      </c>
      <c r="C79" s="143" t="s">
        <v>653</v>
      </c>
      <c r="D79" s="180" t="s">
        <v>83</v>
      </c>
      <c r="E79" s="115">
        <v>268.11596929699999</v>
      </c>
      <c r="F79" s="142">
        <f>'Labour cost Escalation Factor'!$J$10</f>
        <v>0.27984207704983549</v>
      </c>
      <c r="G79" s="115">
        <f t="shared" si="17"/>
        <v>343.14609903530243</v>
      </c>
      <c r="H79" s="115">
        <f t="shared" si="10"/>
        <v>343.14609903530243</v>
      </c>
      <c r="I79" s="166" t="s">
        <v>763</v>
      </c>
      <c r="J79" s="112">
        <v>3.177</v>
      </c>
      <c r="K79" s="112">
        <f t="shared" si="11"/>
        <v>1090.1751566351559</v>
      </c>
      <c r="L79" s="112">
        <f t="shared" si="12"/>
        <v>1090.1751566351559</v>
      </c>
      <c r="M79" s="112">
        <v>3.18</v>
      </c>
      <c r="N79" s="112">
        <f t="shared" si="13"/>
        <v>1091.2045949322617</v>
      </c>
      <c r="O79" s="112">
        <f t="shared" si="14"/>
        <v>1091.2045949322617</v>
      </c>
      <c r="P79" s="112">
        <v>3.18</v>
      </c>
      <c r="Q79" s="112">
        <f t="shared" si="15"/>
        <v>1091.2045949322617</v>
      </c>
      <c r="R79" s="112">
        <f t="shared" si="16"/>
        <v>1091.2045949322617</v>
      </c>
    </row>
    <row r="80" spans="2:18" ht="25.5" x14ac:dyDescent="0.25">
      <c r="B80" s="179">
        <v>40</v>
      </c>
      <c r="C80" s="143" t="s">
        <v>654</v>
      </c>
      <c r="D80" s="180" t="s">
        <v>83</v>
      </c>
      <c r="E80" s="115" t="s">
        <v>90</v>
      </c>
      <c r="F80" s="142"/>
      <c r="G80" s="115">
        <f>(((9*'Labour cost Escalation Factor'!I5)+('Labour cost Escalation Factor'!I6*1))*1.15*1.2)/5</f>
        <v>661.14972</v>
      </c>
      <c r="H80" s="115">
        <f>G80</f>
        <v>661.14972</v>
      </c>
      <c r="I80" s="166" t="s">
        <v>380</v>
      </c>
      <c r="J80" s="112"/>
      <c r="K80" s="112">
        <f t="shared" si="11"/>
        <v>0</v>
      </c>
      <c r="L80" s="112">
        <f t="shared" si="12"/>
        <v>0</v>
      </c>
      <c r="M80" s="112"/>
      <c r="N80" s="112">
        <f t="shared" si="13"/>
        <v>0</v>
      </c>
      <c r="O80" s="112">
        <f t="shared" si="14"/>
        <v>0</v>
      </c>
      <c r="P80" s="112"/>
      <c r="Q80" s="112">
        <f t="shared" si="15"/>
        <v>0</v>
      </c>
      <c r="R80" s="112">
        <f t="shared" si="16"/>
        <v>0</v>
      </c>
    </row>
    <row r="81" spans="2:20" ht="25.5" x14ac:dyDescent="0.25">
      <c r="B81" s="179">
        <v>41</v>
      </c>
      <c r="C81" s="135" t="s">
        <v>19</v>
      </c>
      <c r="D81" s="119" t="s">
        <v>83</v>
      </c>
      <c r="E81" s="115">
        <v>804.34790789099998</v>
      </c>
      <c r="F81" s="142">
        <f>'Labour cost Escalation Factor'!$J$10</f>
        <v>0.27984207704983549</v>
      </c>
      <c r="G81" s="115">
        <f t="shared" si="17"/>
        <v>1029.4382971059072</v>
      </c>
      <c r="H81" s="115">
        <f t="shared" si="10"/>
        <v>1029.4382971059072</v>
      </c>
      <c r="I81" s="166" t="s">
        <v>763</v>
      </c>
      <c r="J81" s="112">
        <v>3.177</v>
      </c>
      <c r="K81" s="112">
        <f t="shared" si="11"/>
        <v>3270.5254699054672</v>
      </c>
      <c r="L81" s="112">
        <f t="shared" si="12"/>
        <v>3270.5254699054672</v>
      </c>
      <c r="M81" s="112">
        <v>3.18</v>
      </c>
      <c r="N81" s="112">
        <f t="shared" si="13"/>
        <v>3273.6137847967848</v>
      </c>
      <c r="O81" s="112">
        <f t="shared" si="14"/>
        <v>3273.6137847967848</v>
      </c>
      <c r="P81" s="112">
        <v>3.18</v>
      </c>
      <c r="Q81" s="112">
        <f t="shared" si="15"/>
        <v>3273.6137847967848</v>
      </c>
      <c r="R81" s="112">
        <f t="shared" si="16"/>
        <v>3273.6137847967848</v>
      </c>
    </row>
    <row r="82" spans="2:20" ht="38.25" x14ac:dyDescent="0.25">
      <c r="B82" s="179">
        <v>42</v>
      </c>
      <c r="C82" s="135" t="s">
        <v>149</v>
      </c>
      <c r="D82" s="119" t="s">
        <v>20</v>
      </c>
      <c r="E82" s="115">
        <v>4810.382182628</v>
      </c>
      <c r="F82" s="142"/>
      <c r="G82" s="115">
        <f>((24*'Labour cost Escalation Factor'!I4)+(2*'Labour cost Escalation Factor'!I6))*1.15*1.2</f>
        <v>8184.366</v>
      </c>
      <c r="H82" s="115">
        <f t="shared" si="10"/>
        <v>8184.366</v>
      </c>
      <c r="I82" s="166" t="s">
        <v>770</v>
      </c>
      <c r="J82" s="112">
        <v>3.177</v>
      </c>
      <c r="K82" s="112">
        <f t="shared" si="11"/>
        <v>26001.730781999999</v>
      </c>
      <c r="L82" s="112">
        <f t="shared" si="12"/>
        <v>26001.730781999999</v>
      </c>
      <c r="M82" s="112">
        <v>3.18</v>
      </c>
      <c r="N82" s="112">
        <f t="shared" si="13"/>
        <v>26026.283880000003</v>
      </c>
      <c r="O82" s="112">
        <f t="shared" si="14"/>
        <v>26026.283880000003</v>
      </c>
      <c r="P82" s="112">
        <v>3.18</v>
      </c>
      <c r="Q82" s="112">
        <f t="shared" si="15"/>
        <v>26026.283880000003</v>
      </c>
      <c r="R82" s="112">
        <f t="shared" si="16"/>
        <v>26026.283880000003</v>
      </c>
    </row>
    <row r="83" spans="2:20" x14ac:dyDescent="0.25">
      <c r="B83" s="389" t="s">
        <v>108</v>
      </c>
      <c r="C83" s="390"/>
      <c r="D83" s="390"/>
      <c r="E83" s="390"/>
      <c r="F83" s="390"/>
      <c r="G83" s="390"/>
      <c r="H83" s="391"/>
      <c r="I83" s="166"/>
      <c r="J83" s="120"/>
      <c r="K83" s="121">
        <f>SUM(K6:K82)</f>
        <v>248999.68454823198</v>
      </c>
      <c r="L83" s="121">
        <f>SUM(L6:L82)</f>
        <v>257595.27726827323</v>
      </c>
      <c r="M83" s="122"/>
      <c r="N83" s="121">
        <f>SUM(N6:N82)</f>
        <v>229970.48547624127</v>
      </c>
      <c r="O83" s="121">
        <f>SUM(O6:O82)</f>
        <v>238566.07819628253</v>
      </c>
      <c r="P83" s="122"/>
      <c r="Q83" s="121">
        <f>SUM(Q6:Q82)</f>
        <v>204275.27865146589</v>
      </c>
      <c r="R83" s="121">
        <f>SUM(R6:R82)</f>
        <v>212870.87137150712</v>
      </c>
    </row>
    <row r="84" spans="2:20" x14ac:dyDescent="0.25">
      <c r="K84"/>
      <c r="L84"/>
      <c r="M84"/>
      <c r="N84"/>
      <c r="O84"/>
      <c r="P84"/>
      <c r="Q84"/>
      <c r="R84"/>
      <c r="S84"/>
      <c r="T84"/>
    </row>
  </sheetData>
  <mergeCells count="29">
    <mergeCell ref="I43:I45"/>
    <mergeCell ref="I55:I56"/>
    <mergeCell ref="B83:H83"/>
    <mergeCell ref="J3:L3"/>
    <mergeCell ref="B51:B52"/>
    <mergeCell ref="I57:I59"/>
    <mergeCell ref="G3:H3"/>
    <mergeCell ref="B8:B12"/>
    <mergeCell ref="B13:B17"/>
    <mergeCell ref="B46:B50"/>
    <mergeCell ref="B31:B35"/>
    <mergeCell ref="B25:B29"/>
    <mergeCell ref="B19:B23"/>
    <mergeCell ref="P3:R3"/>
    <mergeCell ref="B2:D2"/>
    <mergeCell ref="B60:B62"/>
    <mergeCell ref="C36:C39"/>
    <mergeCell ref="B36:B39"/>
    <mergeCell ref="B3:B4"/>
    <mergeCell ref="C3:C4"/>
    <mergeCell ref="D3:D4"/>
    <mergeCell ref="E3:E4"/>
    <mergeCell ref="F3:F4"/>
    <mergeCell ref="B53:B56"/>
    <mergeCell ref="I3:I4"/>
    <mergeCell ref="I36:I39"/>
    <mergeCell ref="B57:B59"/>
    <mergeCell ref="I60:I62"/>
    <mergeCell ref="M3:O3"/>
  </mergeCells>
  <printOptions horizontalCentered="1"/>
  <pageMargins left="0.48" right="0.7" top="0.98" bottom="0.59" header="0.3" footer="0.3"/>
  <pageSetup paperSize="9" scale="85" orientation="landscape" r:id="rId1"/>
  <headerFooter>
    <oddHeader>&amp;L&amp;G&amp;C&amp;"-,Bold"&amp;20JBVNL Cost Data Book&amp;"-,Regular"&amp;11
&amp;"-,Bold Italic"&amp;14 33KV Line Labour Cost Analysis&amp;R
&amp;G</oddHeader>
    <oddFooter>&amp;L&amp;"-,Bold"&amp;14 2016-17&amp;RPage &amp;P of &amp;N</oddFooter>
  </headerFooter>
  <colBreaks count="1" manualBreakCount="1">
    <brk id="9" min="2" max="82" man="1"/>
  </colBreaks>
  <legacy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B1:S153"/>
  <sheetViews>
    <sheetView zoomScaleNormal="100" zoomScaleSheetLayoutView="50" workbookViewId="0">
      <pane xSplit="4" ySplit="5" topLeftCell="E6" activePane="bottomRight" state="frozen"/>
      <selection pane="topRight" activeCell="E1" sqref="E1"/>
      <selection pane="bottomLeft" activeCell="A5" sqref="A5"/>
      <selection pane="bottomRight" activeCell="E6" sqref="E6"/>
    </sheetView>
  </sheetViews>
  <sheetFormatPr defaultRowHeight="15" x14ac:dyDescent="0.25"/>
  <cols>
    <col min="1" max="1" width="4.28515625" style="7" customWidth="1"/>
    <col min="2" max="2" width="6.5703125" style="7" bestFit="1" customWidth="1"/>
    <col min="3" max="3" width="49.7109375" style="136" customWidth="1"/>
    <col min="4" max="4" width="11.28515625" style="8" bestFit="1" customWidth="1"/>
    <col min="5" max="5" width="11.140625" style="7" customWidth="1"/>
    <col min="6" max="6" width="26.28515625" style="14" customWidth="1"/>
    <col min="7" max="7" width="11.5703125" style="7" customWidth="1"/>
    <col min="8" max="8" width="10.140625" style="7" customWidth="1"/>
    <col min="9" max="9" width="33.28515625" style="66" customWidth="1"/>
    <col min="10" max="10" width="7.5703125" style="7" bestFit="1" customWidth="1"/>
    <col min="11" max="12" width="11.42578125" style="7" customWidth="1"/>
    <col min="13" max="13" width="7.5703125" style="7" bestFit="1" customWidth="1"/>
    <col min="14" max="15" width="11.42578125" style="7" customWidth="1"/>
    <col min="16" max="16" width="7.5703125" style="7" bestFit="1" customWidth="1"/>
    <col min="17" max="18" width="11.42578125" style="7" customWidth="1"/>
    <col min="19" max="16384" width="9.140625" style="7"/>
  </cols>
  <sheetData>
    <row r="1" spans="2:18" x14ac:dyDescent="0.25">
      <c r="C1"/>
      <c r="D1"/>
      <c r="E1"/>
      <c r="F1"/>
      <c r="H1" s="7">
        <v>1.5</v>
      </c>
    </row>
    <row r="2" spans="2:18" ht="39.75" hidden="1" customHeight="1" x14ac:dyDescent="0.25">
      <c r="B2" s="368" t="s">
        <v>510</v>
      </c>
      <c r="C2" s="368"/>
      <c r="D2" s="368"/>
      <c r="E2" s="90"/>
      <c r="F2" s="90"/>
      <c r="G2" s="90"/>
      <c r="H2" s="90"/>
      <c r="I2" s="67"/>
    </row>
    <row r="3" spans="2:18" s="13" customFormat="1" ht="78" customHeight="1" x14ac:dyDescent="0.25">
      <c r="B3" s="375" t="s">
        <v>1</v>
      </c>
      <c r="C3" s="377" t="s">
        <v>2</v>
      </c>
      <c r="D3" s="375" t="s">
        <v>0</v>
      </c>
      <c r="E3" s="379" t="s">
        <v>211</v>
      </c>
      <c r="F3" s="379" t="s">
        <v>72</v>
      </c>
      <c r="G3" s="367" t="s">
        <v>210</v>
      </c>
      <c r="H3" s="367"/>
      <c r="I3" s="381" t="s">
        <v>349</v>
      </c>
      <c r="J3" s="367" t="s">
        <v>530</v>
      </c>
      <c r="K3" s="367"/>
      <c r="L3" s="367"/>
      <c r="M3" s="367" t="s">
        <v>531</v>
      </c>
      <c r="N3" s="367"/>
      <c r="O3" s="367"/>
      <c r="P3" s="367" t="s">
        <v>532</v>
      </c>
      <c r="Q3" s="367"/>
      <c r="R3" s="367"/>
    </row>
    <row r="4" spans="2:18" s="13" customFormat="1" ht="25.5" x14ac:dyDescent="0.25">
      <c r="B4" s="376"/>
      <c r="C4" s="378"/>
      <c r="D4" s="376"/>
      <c r="E4" s="380"/>
      <c r="F4" s="380"/>
      <c r="G4" s="74" t="s">
        <v>144</v>
      </c>
      <c r="H4" s="74" t="s">
        <v>145</v>
      </c>
      <c r="I4" s="382"/>
      <c r="J4" s="74" t="s">
        <v>107</v>
      </c>
      <c r="K4" s="74" t="s">
        <v>507</v>
      </c>
      <c r="L4" s="74" t="s">
        <v>508</v>
      </c>
      <c r="M4" s="74" t="s">
        <v>107</v>
      </c>
      <c r="N4" s="74" t="s">
        <v>507</v>
      </c>
      <c r="O4" s="74" t="s">
        <v>508</v>
      </c>
      <c r="P4" s="74" t="s">
        <v>107</v>
      </c>
      <c r="Q4" s="74" t="s">
        <v>507</v>
      </c>
      <c r="R4" s="74" t="s">
        <v>508</v>
      </c>
    </row>
    <row r="5" spans="2:18" x14ac:dyDescent="0.25">
      <c r="B5" s="18" t="s">
        <v>74</v>
      </c>
      <c r="C5" s="132" t="s">
        <v>75</v>
      </c>
      <c r="D5" s="78" t="s">
        <v>76</v>
      </c>
      <c r="E5" s="78" t="s">
        <v>77</v>
      </c>
      <c r="F5" s="78" t="s">
        <v>78</v>
      </c>
      <c r="G5" s="149" t="s">
        <v>664</v>
      </c>
      <c r="H5" s="149" t="s">
        <v>665</v>
      </c>
      <c r="I5" s="91" t="s">
        <v>93</v>
      </c>
      <c r="J5" s="78" t="s">
        <v>94</v>
      </c>
      <c r="K5" s="78" t="s">
        <v>95</v>
      </c>
      <c r="L5" s="78" t="s">
        <v>96</v>
      </c>
      <c r="M5" s="78" t="s">
        <v>97</v>
      </c>
      <c r="N5" s="78" t="s">
        <v>98</v>
      </c>
      <c r="O5" s="78" t="s">
        <v>99</v>
      </c>
      <c r="P5" s="78" t="s">
        <v>100</v>
      </c>
      <c r="Q5" s="78" t="s">
        <v>101</v>
      </c>
      <c r="R5" s="78" t="s">
        <v>102</v>
      </c>
    </row>
    <row r="6" spans="2:18" ht="25.5" x14ac:dyDescent="0.25">
      <c r="B6" s="181">
        <v>1</v>
      </c>
      <c r="C6" s="135" t="s">
        <v>167</v>
      </c>
      <c r="D6" s="180" t="s">
        <v>21</v>
      </c>
      <c r="E6" s="113">
        <v>1029.5600978959999</v>
      </c>
      <c r="F6" s="142">
        <f>'Labour cost Escalation Factor'!$J$10</f>
        <v>0.27984207704983549</v>
      </c>
      <c r="G6" s="115">
        <f>E6*(1+F6)</f>
        <v>1317.6743341388485</v>
      </c>
      <c r="H6" s="115">
        <f>G6</f>
        <v>1317.6743341388485</v>
      </c>
      <c r="I6" s="166" t="s">
        <v>763</v>
      </c>
      <c r="J6" s="129">
        <v>1</v>
      </c>
      <c r="K6" s="129">
        <f>$G6*J6</f>
        <v>1317.6743341388485</v>
      </c>
      <c r="L6" s="129">
        <f>$H6*J6</f>
        <v>1317.6743341388485</v>
      </c>
      <c r="M6" s="129">
        <v>1</v>
      </c>
      <c r="N6" s="129">
        <f>$G6*M6</f>
        <v>1317.6743341388485</v>
      </c>
      <c r="O6" s="129">
        <f>$H6*M6</f>
        <v>1317.6743341388485</v>
      </c>
      <c r="P6" s="129">
        <v>1</v>
      </c>
      <c r="Q6" s="129">
        <f>$G6*P6</f>
        <v>1317.6743341388485</v>
      </c>
      <c r="R6" s="129">
        <f>$H6*P6</f>
        <v>1317.6743341388485</v>
      </c>
    </row>
    <row r="7" spans="2:18" ht="25.5" x14ac:dyDescent="0.25">
      <c r="B7" s="181">
        <v>2</v>
      </c>
      <c r="C7" s="135" t="s">
        <v>170</v>
      </c>
      <c r="D7" s="119" t="s">
        <v>3</v>
      </c>
      <c r="E7" s="182">
        <v>178.46081600000002</v>
      </c>
      <c r="F7" s="142">
        <f>'Labour cost Escalation Factor'!$J$10</f>
        <v>0.27984207704983549</v>
      </c>
      <c r="G7" s="176">
        <f>E7*(1+F7)</f>
        <v>228.40166142144855</v>
      </c>
      <c r="H7" s="176">
        <f>G7*$H$1</f>
        <v>342.60249213217281</v>
      </c>
      <c r="I7" s="166" t="s">
        <v>763</v>
      </c>
      <c r="J7" s="96">
        <v>20</v>
      </c>
      <c r="K7" s="129">
        <f t="shared" ref="K7:K70" si="0">$G7*J7</f>
        <v>4568.0332284289707</v>
      </c>
      <c r="L7" s="129">
        <f t="shared" ref="L7:L70" si="1">$H7*J7</f>
        <v>6852.049842643456</v>
      </c>
      <c r="M7" s="96">
        <v>20</v>
      </c>
      <c r="N7" s="129">
        <f t="shared" ref="N7:N70" si="2">$G7*M7</f>
        <v>4568.0332284289707</v>
      </c>
      <c r="O7" s="129">
        <f t="shared" ref="O7:O70" si="3">$H7*M7</f>
        <v>6852.049842643456</v>
      </c>
      <c r="P7" s="96">
        <v>20</v>
      </c>
      <c r="Q7" s="129">
        <f t="shared" ref="Q7:Q70" si="4">$G7*P7</f>
        <v>4568.0332284289707</v>
      </c>
      <c r="R7" s="129">
        <f t="shared" ref="R7:R70" si="5">$H7*P7</f>
        <v>6852.049842643456</v>
      </c>
    </row>
    <row r="8" spans="2:18" x14ac:dyDescent="0.25">
      <c r="B8" s="392">
        <v>3</v>
      </c>
      <c r="C8" s="135" t="s">
        <v>117</v>
      </c>
      <c r="D8" s="119"/>
      <c r="E8" s="115"/>
      <c r="F8" s="142"/>
      <c r="G8" s="176"/>
      <c r="H8" s="176"/>
      <c r="I8" s="69"/>
      <c r="J8" s="96"/>
      <c r="K8" s="129">
        <f t="shared" si="0"/>
        <v>0</v>
      </c>
      <c r="L8" s="129">
        <f t="shared" si="1"/>
        <v>0</v>
      </c>
      <c r="M8" s="96"/>
      <c r="N8" s="129">
        <f t="shared" si="2"/>
        <v>0</v>
      </c>
      <c r="O8" s="129">
        <f t="shared" si="3"/>
        <v>0</v>
      </c>
      <c r="P8" s="96"/>
      <c r="Q8" s="129">
        <f t="shared" si="4"/>
        <v>0</v>
      </c>
      <c r="R8" s="129">
        <f t="shared" si="5"/>
        <v>0</v>
      </c>
    </row>
    <row r="9" spans="2:18" ht="25.5" customHeight="1" x14ac:dyDescent="0.25">
      <c r="B9" s="393"/>
      <c r="C9" s="135" t="s">
        <v>116</v>
      </c>
      <c r="D9" s="119" t="s">
        <v>4</v>
      </c>
      <c r="E9" s="115">
        <v>288.27813346200003</v>
      </c>
      <c r="F9" s="142">
        <f>'Labour cost Escalation Factor'!$J$10</f>
        <v>0.27984207704983549</v>
      </c>
      <c r="G9" s="176">
        <f>E9*(1+F9)</f>
        <v>368.95048509805582</v>
      </c>
      <c r="H9" s="115">
        <f>G9</f>
        <v>368.95048509805582</v>
      </c>
      <c r="I9" s="383" t="s">
        <v>763</v>
      </c>
      <c r="J9" s="96">
        <v>14</v>
      </c>
      <c r="K9" s="129">
        <f t="shared" si="0"/>
        <v>5165.3067913727818</v>
      </c>
      <c r="L9" s="129">
        <f t="shared" si="1"/>
        <v>5165.3067913727818</v>
      </c>
      <c r="M9" s="96">
        <v>14</v>
      </c>
      <c r="N9" s="129">
        <f t="shared" si="2"/>
        <v>5165.3067913727818</v>
      </c>
      <c r="O9" s="129">
        <f t="shared" si="3"/>
        <v>5165.3067913727818</v>
      </c>
      <c r="P9" s="96">
        <v>14</v>
      </c>
      <c r="Q9" s="129">
        <f t="shared" si="4"/>
        <v>5165.3067913727818</v>
      </c>
      <c r="R9" s="129">
        <f t="shared" si="5"/>
        <v>5165.3067913727818</v>
      </c>
    </row>
    <row r="10" spans="2:18" x14ac:dyDescent="0.25">
      <c r="B10" s="393"/>
      <c r="C10" s="135" t="s">
        <v>115</v>
      </c>
      <c r="D10" s="119" t="s">
        <v>14</v>
      </c>
      <c r="E10" s="115">
        <v>573.11155709499997</v>
      </c>
      <c r="F10" s="142">
        <f>'Labour cost Escalation Factor'!$J$10</f>
        <v>0.27984207704983549</v>
      </c>
      <c r="G10" s="176">
        <f>E10*(1+F10)</f>
        <v>733.49228561373013</v>
      </c>
      <c r="H10" s="115">
        <f>G10</f>
        <v>733.49228561373013</v>
      </c>
      <c r="I10" s="385"/>
      <c r="J10" s="96">
        <v>3</v>
      </c>
      <c r="K10" s="129">
        <f t="shared" si="0"/>
        <v>2200.4768568411905</v>
      </c>
      <c r="L10" s="129">
        <f t="shared" si="1"/>
        <v>2200.4768568411905</v>
      </c>
      <c r="M10" s="96">
        <v>3</v>
      </c>
      <c r="N10" s="129">
        <f t="shared" si="2"/>
        <v>2200.4768568411905</v>
      </c>
      <c r="O10" s="129">
        <f t="shared" si="3"/>
        <v>2200.4768568411905</v>
      </c>
      <c r="P10" s="96">
        <v>3</v>
      </c>
      <c r="Q10" s="129">
        <f t="shared" si="4"/>
        <v>2200.4768568411905</v>
      </c>
      <c r="R10" s="129">
        <f t="shared" si="5"/>
        <v>2200.4768568411905</v>
      </c>
    </row>
    <row r="11" spans="2:18" ht="25.5" x14ac:dyDescent="0.25">
      <c r="B11" s="393"/>
      <c r="C11" s="135" t="s">
        <v>200</v>
      </c>
      <c r="D11" s="119" t="s">
        <v>37</v>
      </c>
      <c r="E11" s="115" t="s">
        <v>90</v>
      </c>
      <c r="F11" s="142"/>
      <c r="G11" s="176">
        <f>G9*3</f>
        <v>1106.8514552941674</v>
      </c>
      <c r="H11" s="115">
        <f>G11</f>
        <v>1106.8514552941674</v>
      </c>
      <c r="I11" s="166" t="s">
        <v>765</v>
      </c>
      <c r="J11" s="96"/>
      <c r="K11" s="129">
        <f t="shared" si="0"/>
        <v>0</v>
      </c>
      <c r="L11" s="129">
        <f t="shared" si="1"/>
        <v>0</v>
      </c>
      <c r="M11" s="96"/>
      <c r="N11" s="129">
        <f t="shared" si="2"/>
        <v>0</v>
      </c>
      <c r="O11" s="129">
        <f t="shared" si="3"/>
        <v>0</v>
      </c>
      <c r="P11" s="96"/>
      <c r="Q11" s="129">
        <f t="shared" si="4"/>
        <v>0</v>
      </c>
      <c r="R11" s="129">
        <f t="shared" si="5"/>
        <v>0</v>
      </c>
    </row>
    <row r="12" spans="2:18" ht="25.5" x14ac:dyDescent="0.25">
      <c r="B12" s="394"/>
      <c r="C12" s="135" t="s">
        <v>201</v>
      </c>
      <c r="D12" s="119" t="s">
        <v>91</v>
      </c>
      <c r="E12" s="115" t="s">
        <v>90</v>
      </c>
      <c r="F12" s="142"/>
      <c r="G12" s="176">
        <f>G9*4</f>
        <v>1475.8019403922233</v>
      </c>
      <c r="H12" s="115">
        <f>G12</f>
        <v>1475.8019403922233</v>
      </c>
      <c r="I12" s="166" t="s">
        <v>764</v>
      </c>
      <c r="J12" s="96"/>
      <c r="K12" s="129">
        <f t="shared" si="0"/>
        <v>0</v>
      </c>
      <c r="L12" s="129">
        <f t="shared" si="1"/>
        <v>0</v>
      </c>
      <c r="M12" s="96"/>
      <c r="N12" s="129">
        <f t="shared" si="2"/>
        <v>0</v>
      </c>
      <c r="O12" s="129">
        <f t="shared" si="3"/>
        <v>0</v>
      </c>
      <c r="P12" s="96"/>
      <c r="Q12" s="129">
        <f t="shared" si="4"/>
        <v>0</v>
      </c>
      <c r="R12" s="129">
        <f t="shared" si="5"/>
        <v>0</v>
      </c>
    </row>
    <row r="13" spans="2:18" ht="51" x14ac:dyDescent="0.25">
      <c r="B13" s="392">
        <v>4</v>
      </c>
      <c r="C13" s="135" t="s">
        <v>147</v>
      </c>
      <c r="D13" s="119" t="s">
        <v>5</v>
      </c>
      <c r="E13" s="115">
        <v>257.39002447399997</v>
      </c>
      <c r="F13" s="142">
        <f>'Labour cost Escalation Factor'!$J$10</f>
        <v>0.27984207704983549</v>
      </c>
      <c r="G13" s="176">
        <f>E13*(1+F13)</f>
        <v>329.41858353471213</v>
      </c>
      <c r="H13" s="115">
        <f>G13</f>
        <v>329.41858353471213</v>
      </c>
      <c r="I13" s="383" t="s">
        <v>763</v>
      </c>
      <c r="J13" s="96"/>
      <c r="K13" s="129">
        <f t="shared" si="0"/>
        <v>0</v>
      </c>
      <c r="L13" s="129">
        <f t="shared" si="1"/>
        <v>0</v>
      </c>
      <c r="M13" s="96"/>
      <c r="N13" s="129">
        <f t="shared" si="2"/>
        <v>0</v>
      </c>
      <c r="O13" s="129">
        <f t="shared" si="3"/>
        <v>0</v>
      </c>
      <c r="P13" s="96"/>
      <c r="Q13" s="129">
        <f t="shared" si="4"/>
        <v>0</v>
      </c>
      <c r="R13" s="129">
        <f t="shared" si="5"/>
        <v>0</v>
      </c>
    </row>
    <row r="14" spans="2:18" x14ac:dyDescent="0.25">
      <c r="B14" s="393"/>
      <c r="C14" s="141" t="s">
        <v>168</v>
      </c>
      <c r="D14" s="119"/>
      <c r="E14" s="115"/>
      <c r="F14" s="142"/>
      <c r="G14" s="176"/>
      <c r="H14" s="115"/>
      <c r="I14" s="384"/>
      <c r="J14" s="96"/>
      <c r="K14" s="129">
        <f t="shared" si="0"/>
        <v>0</v>
      </c>
      <c r="L14" s="129">
        <f t="shared" si="1"/>
        <v>0</v>
      </c>
      <c r="M14" s="96"/>
      <c r="N14" s="129">
        <f t="shared" si="2"/>
        <v>0</v>
      </c>
      <c r="O14" s="129">
        <f t="shared" si="3"/>
        <v>0</v>
      </c>
      <c r="P14" s="96"/>
      <c r="Q14" s="129">
        <f t="shared" si="4"/>
        <v>0</v>
      </c>
      <c r="R14" s="129">
        <f t="shared" si="5"/>
        <v>0</v>
      </c>
    </row>
    <row r="15" spans="2:18" ht="38.25" x14ac:dyDescent="0.25">
      <c r="B15" s="393"/>
      <c r="C15" s="135" t="s">
        <v>129</v>
      </c>
      <c r="D15" s="119" t="s">
        <v>5</v>
      </c>
      <c r="E15" s="115">
        <v>67.033073734000013</v>
      </c>
      <c r="F15" s="142">
        <f>'Labour cost Escalation Factor'!$J$10</f>
        <v>0.27984207704983549</v>
      </c>
      <c r="G15" s="176">
        <f>E15*(1+F15)</f>
        <v>85.791748318757357</v>
      </c>
      <c r="H15" s="115">
        <f>G15</f>
        <v>85.791748318757357</v>
      </c>
      <c r="I15" s="385"/>
      <c r="J15" s="96"/>
      <c r="K15" s="129">
        <f t="shared" si="0"/>
        <v>0</v>
      </c>
      <c r="L15" s="129">
        <f t="shared" si="1"/>
        <v>0</v>
      </c>
      <c r="M15" s="96"/>
      <c r="N15" s="129">
        <f t="shared" si="2"/>
        <v>0</v>
      </c>
      <c r="O15" s="129">
        <f t="shared" si="3"/>
        <v>0</v>
      </c>
      <c r="P15" s="96"/>
      <c r="Q15" s="129">
        <f t="shared" si="4"/>
        <v>0</v>
      </c>
      <c r="R15" s="129">
        <f t="shared" si="5"/>
        <v>0</v>
      </c>
    </row>
    <row r="16" spans="2:18" x14ac:dyDescent="0.25">
      <c r="B16" s="393"/>
      <c r="C16" s="141" t="s">
        <v>169</v>
      </c>
      <c r="D16" s="119"/>
      <c r="E16" s="115"/>
      <c r="F16" s="142"/>
      <c r="G16" s="176"/>
      <c r="H16" s="115"/>
      <c r="I16" s="68"/>
      <c r="J16" s="96"/>
      <c r="K16" s="129">
        <f t="shared" si="0"/>
        <v>0</v>
      </c>
      <c r="L16" s="129">
        <f t="shared" si="1"/>
        <v>0</v>
      </c>
      <c r="M16" s="96"/>
      <c r="N16" s="129">
        <f t="shared" si="2"/>
        <v>0</v>
      </c>
      <c r="O16" s="129">
        <f t="shared" si="3"/>
        <v>0</v>
      </c>
      <c r="P16" s="96"/>
      <c r="Q16" s="129">
        <f t="shared" si="4"/>
        <v>0</v>
      </c>
      <c r="R16" s="129">
        <f t="shared" si="5"/>
        <v>0</v>
      </c>
    </row>
    <row r="17" spans="2:18" ht="76.5" x14ac:dyDescent="0.25">
      <c r="B17" s="394"/>
      <c r="C17" s="143" t="s">
        <v>364</v>
      </c>
      <c r="D17" s="180" t="s">
        <v>350</v>
      </c>
      <c r="E17" s="115">
        <f>1925.054048324/2</f>
        <v>962.52702416199998</v>
      </c>
      <c r="F17" s="142"/>
      <c r="G17" s="115">
        <f>4428.8*0.0283*20</f>
        <v>2506.7008000000001</v>
      </c>
      <c r="H17" s="115">
        <f>G17</f>
        <v>2506.7008000000001</v>
      </c>
      <c r="I17" s="65" t="s">
        <v>357</v>
      </c>
      <c r="J17" s="96">
        <v>20</v>
      </c>
      <c r="K17" s="129">
        <f t="shared" si="0"/>
        <v>50134.016000000003</v>
      </c>
      <c r="L17" s="129">
        <f t="shared" si="1"/>
        <v>50134.016000000003</v>
      </c>
      <c r="M17" s="96">
        <v>20</v>
      </c>
      <c r="N17" s="129">
        <f t="shared" si="2"/>
        <v>50134.016000000003</v>
      </c>
      <c r="O17" s="129">
        <f t="shared" si="3"/>
        <v>50134.016000000003</v>
      </c>
      <c r="P17" s="96">
        <v>20</v>
      </c>
      <c r="Q17" s="129">
        <f t="shared" si="4"/>
        <v>50134.016000000003</v>
      </c>
      <c r="R17" s="129">
        <f t="shared" si="5"/>
        <v>50134.016000000003</v>
      </c>
    </row>
    <row r="18" spans="2:18" ht="25.5" x14ac:dyDescent="0.25">
      <c r="B18" s="181">
        <v>5</v>
      </c>
      <c r="C18" s="135" t="s">
        <v>367</v>
      </c>
      <c r="D18" s="119" t="s">
        <v>3</v>
      </c>
      <c r="E18" s="182">
        <v>178.46081600000002</v>
      </c>
      <c r="F18" s="142">
        <f>'Labour cost Escalation Factor'!$J$10</f>
        <v>0.27984207704983549</v>
      </c>
      <c r="G18" s="176">
        <f>E18*(1+F18)</f>
        <v>228.40166142144855</v>
      </c>
      <c r="H18" s="176">
        <f>G18*$H$1</f>
        <v>342.60249213217281</v>
      </c>
      <c r="I18" s="166" t="s">
        <v>763</v>
      </c>
      <c r="J18" s="96"/>
      <c r="K18" s="129">
        <f t="shared" si="0"/>
        <v>0</v>
      </c>
      <c r="L18" s="129">
        <f t="shared" si="1"/>
        <v>0</v>
      </c>
      <c r="M18" s="96"/>
      <c r="N18" s="129">
        <f t="shared" si="2"/>
        <v>0</v>
      </c>
      <c r="O18" s="129">
        <f t="shared" si="3"/>
        <v>0</v>
      </c>
      <c r="P18" s="96"/>
      <c r="Q18" s="129">
        <f t="shared" si="4"/>
        <v>0</v>
      </c>
      <c r="R18" s="129">
        <f t="shared" si="5"/>
        <v>0</v>
      </c>
    </row>
    <row r="19" spans="2:18" x14ac:dyDescent="0.25">
      <c r="B19" s="395">
        <v>6</v>
      </c>
      <c r="C19" s="135" t="s">
        <v>368</v>
      </c>
      <c r="D19" s="183"/>
      <c r="E19" s="176"/>
      <c r="F19" s="142"/>
      <c r="G19" s="176"/>
      <c r="H19" s="176"/>
      <c r="I19" s="69"/>
      <c r="J19" s="96"/>
      <c r="K19" s="129">
        <f t="shared" si="0"/>
        <v>0</v>
      </c>
      <c r="L19" s="129">
        <f t="shared" si="1"/>
        <v>0</v>
      </c>
      <c r="M19" s="96"/>
      <c r="N19" s="129">
        <f t="shared" si="2"/>
        <v>0</v>
      </c>
      <c r="O19" s="129">
        <f t="shared" si="3"/>
        <v>0</v>
      </c>
      <c r="P19" s="96"/>
      <c r="Q19" s="129">
        <f t="shared" si="4"/>
        <v>0</v>
      </c>
      <c r="R19" s="129">
        <f t="shared" si="5"/>
        <v>0</v>
      </c>
    </row>
    <row r="20" spans="2:18" ht="25.5" x14ac:dyDescent="0.25">
      <c r="B20" s="396"/>
      <c r="C20" s="135" t="s">
        <v>112</v>
      </c>
      <c r="D20" s="183" t="s">
        <v>8</v>
      </c>
      <c r="E20" s="182" t="s">
        <v>90</v>
      </c>
      <c r="F20" s="142"/>
      <c r="G20" s="176">
        <f>(('33KV line labour'!G14/(60*13))*227)</f>
        <v>368.55291235331447</v>
      </c>
      <c r="H20" s="115">
        <f>G20</f>
        <v>368.55291235331447</v>
      </c>
      <c r="I20" s="153" t="s">
        <v>672</v>
      </c>
      <c r="J20" s="96"/>
      <c r="K20" s="129">
        <f t="shared" si="0"/>
        <v>0</v>
      </c>
      <c r="L20" s="129">
        <f t="shared" si="1"/>
        <v>0</v>
      </c>
      <c r="M20" s="96"/>
      <c r="N20" s="129">
        <f t="shared" si="2"/>
        <v>0</v>
      </c>
      <c r="O20" s="129">
        <f t="shared" si="3"/>
        <v>0</v>
      </c>
      <c r="P20" s="96"/>
      <c r="Q20" s="129">
        <f t="shared" si="4"/>
        <v>0</v>
      </c>
      <c r="R20" s="129">
        <f t="shared" si="5"/>
        <v>0</v>
      </c>
    </row>
    <row r="21" spans="2:18" ht="25.5" x14ac:dyDescent="0.25">
      <c r="B21" s="397"/>
      <c r="C21" s="135" t="s">
        <v>113</v>
      </c>
      <c r="D21" s="119" t="s">
        <v>13</v>
      </c>
      <c r="E21" s="182" t="s">
        <v>90</v>
      </c>
      <c r="F21" s="142"/>
      <c r="G21" s="176">
        <f>G20*2</f>
        <v>737.10582470662894</v>
      </c>
      <c r="H21" s="115">
        <f>G21</f>
        <v>737.10582470662894</v>
      </c>
      <c r="I21" s="166" t="s">
        <v>772</v>
      </c>
      <c r="J21" s="96"/>
      <c r="K21" s="129">
        <f t="shared" si="0"/>
        <v>0</v>
      </c>
      <c r="L21" s="129">
        <f t="shared" si="1"/>
        <v>0</v>
      </c>
      <c r="M21" s="96"/>
      <c r="N21" s="129">
        <f t="shared" si="2"/>
        <v>0</v>
      </c>
      <c r="O21" s="129">
        <f t="shared" si="3"/>
        <v>0</v>
      </c>
      <c r="P21" s="96"/>
      <c r="Q21" s="129">
        <f t="shared" si="4"/>
        <v>0</v>
      </c>
      <c r="R21" s="129">
        <f t="shared" si="5"/>
        <v>0</v>
      </c>
    </row>
    <row r="22" spans="2:18" ht="25.5" x14ac:dyDescent="0.25">
      <c r="B22" s="181">
        <v>7</v>
      </c>
      <c r="C22" s="135" t="s">
        <v>667</v>
      </c>
      <c r="D22" s="119" t="s">
        <v>3</v>
      </c>
      <c r="E22" s="113">
        <v>259.33999999999997</v>
      </c>
      <c r="F22" s="142">
        <f>'Labour cost Escalation Factor'!$J$10</f>
        <v>0.27984207704983549</v>
      </c>
      <c r="G22" s="115">
        <f>E22*(1+F22)</f>
        <v>331.91424426210432</v>
      </c>
      <c r="H22" s="115">
        <f>G22*'33KV line labour'!$H$1</f>
        <v>497.87136639315645</v>
      </c>
      <c r="I22" s="166" t="s">
        <v>763</v>
      </c>
      <c r="J22" s="96"/>
      <c r="K22" s="129">
        <f t="shared" si="0"/>
        <v>0</v>
      </c>
      <c r="L22" s="129">
        <f t="shared" si="1"/>
        <v>0</v>
      </c>
      <c r="M22" s="96"/>
      <c r="N22" s="129">
        <f t="shared" si="2"/>
        <v>0</v>
      </c>
      <c r="O22" s="129">
        <f t="shared" si="3"/>
        <v>0</v>
      </c>
      <c r="P22" s="96"/>
      <c r="Q22" s="129">
        <f t="shared" si="4"/>
        <v>0</v>
      </c>
      <c r="R22" s="129">
        <f t="shared" si="5"/>
        <v>0</v>
      </c>
    </row>
    <row r="23" spans="2:18" x14ac:dyDescent="0.25">
      <c r="B23" s="395">
        <v>8</v>
      </c>
      <c r="C23" s="135" t="s">
        <v>668</v>
      </c>
      <c r="D23" s="183"/>
      <c r="E23" s="176"/>
      <c r="F23" s="142"/>
      <c r="G23" s="176"/>
      <c r="H23" s="176"/>
      <c r="I23" s="68"/>
      <c r="J23" s="96"/>
      <c r="K23" s="129">
        <f t="shared" si="0"/>
        <v>0</v>
      </c>
      <c r="L23" s="129">
        <f t="shared" si="1"/>
        <v>0</v>
      </c>
      <c r="M23" s="96"/>
      <c r="N23" s="129">
        <f t="shared" si="2"/>
        <v>0</v>
      </c>
      <c r="O23" s="129">
        <f t="shared" si="3"/>
        <v>0</v>
      </c>
      <c r="P23" s="96"/>
      <c r="Q23" s="129">
        <f t="shared" si="4"/>
        <v>0</v>
      </c>
      <c r="R23" s="129">
        <f t="shared" si="5"/>
        <v>0</v>
      </c>
    </row>
    <row r="24" spans="2:18" ht="25.5" x14ac:dyDescent="0.25">
      <c r="B24" s="396"/>
      <c r="C24" s="135" t="s">
        <v>112</v>
      </c>
      <c r="D24" s="183" t="s">
        <v>8</v>
      </c>
      <c r="E24" s="113" t="s">
        <v>90</v>
      </c>
      <c r="F24" s="142"/>
      <c r="G24" s="176">
        <f>(('33KV line labour'!G14/(60*13))*343)</f>
        <v>556.8883213091932</v>
      </c>
      <c r="H24" s="115">
        <f>G24</f>
        <v>556.8883213091932</v>
      </c>
      <c r="I24" s="153" t="s">
        <v>672</v>
      </c>
      <c r="J24" s="96"/>
      <c r="K24" s="129">
        <f t="shared" si="0"/>
        <v>0</v>
      </c>
      <c r="L24" s="129">
        <f t="shared" si="1"/>
        <v>0</v>
      </c>
      <c r="M24" s="96"/>
      <c r="N24" s="129">
        <f t="shared" si="2"/>
        <v>0</v>
      </c>
      <c r="O24" s="129">
        <f t="shared" si="3"/>
        <v>0</v>
      </c>
      <c r="P24" s="96"/>
      <c r="Q24" s="129">
        <f t="shared" si="4"/>
        <v>0</v>
      </c>
      <c r="R24" s="129">
        <f t="shared" si="5"/>
        <v>0</v>
      </c>
    </row>
    <row r="25" spans="2:18" ht="25.5" x14ac:dyDescent="0.25">
      <c r="B25" s="397"/>
      <c r="C25" s="135" t="s">
        <v>113</v>
      </c>
      <c r="D25" s="119" t="s">
        <v>13</v>
      </c>
      <c r="E25" s="113" t="s">
        <v>90</v>
      </c>
      <c r="F25" s="142"/>
      <c r="G25" s="176">
        <f>G24*2</f>
        <v>1113.7766426183864</v>
      </c>
      <c r="H25" s="115">
        <f>G25</f>
        <v>1113.7766426183864</v>
      </c>
      <c r="I25" s="166" t="s">
        <v>773</v>
      </c>
      <c r="J25" s="96"/>
      <c r="K25" s="129">
        <f t="shared" si="0"/>
        <v>0</v>
      </c>
      <c r="L25" s="129">
        <f t="shared" si="1"/>
        <v>0</v>
      </c>
      <c r="M25" s="96"/>
      <c r="N25" s="129">
        <f t="shared" si="2"/>
        <v>0</v>
      </c>
      <c r="O25" s="129">
        <f t="shared" si="3"/>
        <v>0</v>
      </c>
      <c r="P25" s="96"/>
      <c r="Q25" s="129">
        <f t="shared" si="4"/>
        <v>0</v>
      </c>
      <c r="R25" s="129">
        <f t="shared" si="5"/>
        <v>0</v>
      </c>
    </row>
    <row r="26" spans="2:18" ht="39" customHeight="1" x14ac:dyDescent="0.25">
      <c r="B26" s="395">
        <v>9</v>
      </c>
      <c r="C26" s="401" t="s">
        <v>378</v>
      </c>
      <c r="D26" s="180" t="s">
        <v>350</v>
      </c>
      <c r="E26" s="113">
        <v>1284.256391935</v>
      </c>
      <c r="F26" s="142"/>
      <c r="G26" s="115">
        <f>4428.8*0.0283*20</f>
        <v>2506.7008000000001</v>
      </c>
      <c r="H26" s="115">
        <f>G26</f>
        <v>2506.7008000000001</v>
      </c>
      <c r="I26" s="403" t="s">
        <v>357</v>
      </c>
      <c r="J26" s="96"/>
      <c r="K26" s="129">
        <f t="shared" si="0"/>
        <v>0</v>
      </c>
      <c r="L26" s="129">
        <f t="shared" si="1"/>
        <v>0</v>
      </c>
      <c r="M26" s="96"/>
      <c r="N26" s="129">
        <f t="shared" si="2"/>
        <v>0</v>
      </c>
      <c r="O26" s="129">
        <f t="shared" si="3"/>
        <v>0</v>
      </c>
      <c r="P26" s="96"/>
      <c r="Q26" s="129">
        <f t="shared" si="4"/>
        <v>0</v>
      </c>
      <c r="R26" s="129">
        <f t="shared" si="5"/>
        <v>0</v>
      </c>
    </row>
    <row r="27" spans="2:18" ht="39" customHeight="1" x14ac:dyDescent="0.25">
      <c r="B27" s="397"/>
      <c r="C27" s="402"/>
      <c r="D27" s="180" t="s">
        <v>351</v>
      </c>
      <c r="E27" s="113">
        <v>2565.8517047130003</v>
      </c>
      <c r="F27" s="142"/>
      <c r="G27" s="115">
        <f>4428.8*0.0283*40</f>
        <v>5013.4016000000001</v>
      </c>
      <c r="H27" s="115">
        <f>G27</f>
        <v>5013.4016000000001</v>
      </c>
      <c r="I27" s="404"/>
      <c r="J27" s="96"/>
      <c r="K27" s="129">
        <f t="shared" si="0"/>
        <v>0</v>
      </c>
      <c r="L27" s="129">
        <f t="shared" si="1"/>
        <v>0</v>
      </c>
      <c r="M27" s="96"/>
      <c r="N27" s="129">
        <f t="shared" si="2"/>
        <v>0</v>
      </c>
      <c r="O27" s="129">
        <f t="shared" si="3"/>
        <v>0</v>
      </c>
      <c r="P27" s="96"/>
      <c r="Q27" s="129">
        <f t="shared" si="4"/>
        <v>0</v>
      </c>
      <c r="R27" s="129">
        <f t="shared" si="5"/>
        <v>0</v>
      </c>
    </row>
    <row r="28" spans="2:18" x14ac:dyDescent="0.25">
      <c r="B28" s="392">
        <v>10</v>
      </c>
      <c r="C28" s="135" t="s">
        <v>118</v>
      </c>
      <c r="D28" s="119"/>
      <c r="E28" s="115"/>
      <c r="F28" s="142"/>
      <c r="G28" s="176"/>
      <c r="H28" s="115"/>
      <c r="I28" s="68"/>
      <c r="J28" s="96"/>
      <c r="K28" s="129">
        <f t="shared" si="0"/>
        <v>0</v>
      </c>
      <c r="L28" s="129">
        <f t="shared" si="1"/>
        <v>0</v>
      </c>
      <c r="M28" s="96"/>
      <c r="N28" s="129">
        <f t="shared" si="2"/>
        <v>0</v>
      </c>
      <c r="O28" s="129">
        <f t="shared" si="3"/>
        <v>0</v>
      </c>
      <c r="P28" s="96"/>
      <c r="Q28" s="129">
        <f t="shared" si="4"/>
        <v>0</v>
      </c>
      <c r="R28" s="129">
        <f t="shared" si="5"/>
        <v>0</v>
      </c>
    </row>
    <row r="29" spans="2:18" ht="25.5" x14ac:dyDescent="0.25">
      <c r="B29" s="393"/>
      <c r="C29" s="135" t="s">
        <v>119</v>
      </c>
      <c r="D29" s="119" t="s">
        <v>8</v>
      </c>
      <c r="E29" s="115">
        <v>82.362848755000002</v>
      </c>
      <c r="F29" s="142">
        <f>'Labour cost Escalation Factor'!$J$10</f>
        <v>0.27984207704983549</v>
      </c>
      <c r="G29" s="176">
        <f>E29*(1+F29)</f>
        <v>105.41143942234066</v>
      </c>
      <c r="H29" s="115">
        <f>G29</f>
        <v>105.41143942234066</v>
      </c>
      <c r="I29" s="166" t="s">
        <v>763</v>
      </c>
      <c r="J29" s="96">
        <v>14</v>
      </c>
      <c r="K29" s="129">
        <f t="shared" si="0"/>
        <v>1475.7601519127693</v>
      </c>
      <c r="L29" s="129">
        <f t="shared" si="1"/>
        <v>1475.7601519127693</v>
      </c>
      <c r="M29" s="96">
        <v>14</v>
      </c>
      <c r="N29" s="129">
        <f t="shared" si="2"/>
        <v>1475.7601519127693</v>
      </c>
      <c r="O29" s="129">
        <f t="shared" si="3"/>
        <v>1475.7601519127693</v>
      </c>
      <c r="P29" s="96">
        <v>14</v>
      </c>
      <c r="Q29" s="129">
        <f t="shared" si="4"/>
        <v>1475.7601519127693</v>
      </c>
      <c r="R29" s="129">
        <f t="shared" si="5"/>
        <v>1475.7601519127693</v>
      </c>
    </row>
    <row r="30" spans="2:18" ht="25.5" x14ac:dyDescent="0.25">
      <c r="B30" s="393"/>
      <c r="C30" s="135" t="s">
        <v>15</v>
      </c>
      <c r="D30" s="119" t="s">
        <v>14</v>
      </c>
      <c r="E30" s="115">
        <v>264.24679285400003</v>
      </c>
      <c r="F30" s="142">
        <f>'Labour cost Escalation Factor'!$J$10</f>
        <v>0.27984207704983549</v>
      </c>
      <c r="G30" s="176">
        <f>E30*(1+F30)</f>
        <v>338.19416422002104</v>
      </c>
      <c r="H30" s="115">
        <f>G30</f>
        <v>338.19416422002104</v>
      </c>
      <c r="I30" s="166" t="s">
        <v>763</v>
      </c>
      <c r="J30" s="96">
        <v>3</v>
      </c>
      <c r="K30" s="129">
        <f t="shared" si="0"/>
        <v>1014.5824926600631</v>
      </c>
      <c r="L30" s="129">
        <f t="shared" si="1"/>
        <v>1014.5824926600631</v>
      </c>
      <c r="M30" s="96">
        <v>3</v>
      </c>
      <c r="N30" s="129">
        <f t="shared" si="2"/>
        <v>1014.5824926600631</v>
      </c>
      <c r="O30" s="129">
        <f t="shared" si="3"/>
        <v>1014.5824926600631</v>
      </c>
      <c r="P30" s="96">
        <v>3</v>
      </c>
      <c r="Q30" s="129">
        <f t="shared" si="4"/>
        <v>1014.5824926600631</v>
      </c>
      <c r="R30" s="129">
        <f t="shared" si="5"/>
        <v>1014.5824926600631</v>
      </c>
    </row>
    <row r="31" spans="2:18" x14ac:dyDescent="0.25">
      <c r="B31" s="393"/>
      <c r="C31" s="135" t="s">
        <v>202</v>
      </c>
      <c r="D31" s="180" t="s">
        <v>37</v>
      </c>
      <c r="E31" s="115" t="s">
        <v>90</v>
      </c>
      <c r="F31" s="142"/>
      <c r="G31" s="176">
        <f>G29+G30</f>
        <v>443.6056036423617</v>
      </c>
      <c r="H31" s="115">
        <f>G31</f>
        <v>443.6056036423617</v>
      </c>
      <c r="I31" s="166" t="s">
        <v>767</v>
      </c>
      <c r="J31" s="96"/>
      <c r="K31" s="129">
        <f t="shared" si="0"/>
        <v>0</v>
      </c>
      <c r="L31" s="129">
        <f t="shared" si="1"/>
        <v>0</v>
      </c>
      <c r="M31" s="96"/>
      <c r="N31" s="129">
        <f t="shared" si="2"/>
        <v>0</v>
      </c>
      <c r="O31" s="129">
        <f t="shared" si="3"/>
        <v>0</v>
      </c>
      <c r="P31" s="96"/>
      <c r="Q31" s="129">
        <f t="shared" si="4"/>
        <v>0</v>
      </c>
      <c r="R31" s="129">
        <f t="shared" si="5"/>
        <v>0</v>
      </c>
    </row>
    <row r="32" spans="2:18" x14ac:dyDescent="0.25">
      <c r="B32" s="394"/>
      <c r="C32" s="135" t="s">
        <v>203</v>
      </c>
      <c r="D32" s="180" t="s">
        <v>91</v>
      </c>
      <c r="E32" s="115" t="s">
        <v>90</v>
      </c>
      <c r="F32" s="142"/>
      <c r="G32" s="176">
        <f>G30*2</f>
        <v>676.38832844004207</v>
      </c>
      <c r="H32" s="115">
        <f>G32</f>
        <v>676.38832844004207</v>
      </c>
      <c r="I32" s="166" t="s">
        <v>788</v>
      </c>
      <c r="J32" s="96"/>
      <c r="K32" s="129">
        <f t="shared" si="0"/>
        <v>0</v>
      </c>
      <c r="L32" s="129">
        <f t="shared" si="1"/>
        <v>0</v>
      </c>
      <c r="M32" s="96"/>
      <c r="N32" s="129">
        <f t="shared" si="2"/>
        <v>0</v>
      </c>
      <c r="O32" s="129">
        <f t="shared" si="3"/>
        <v>0</v>
      </c>
      <c r="P32" s="96"/>
      <c r="Q32" s="129">
        <f t="shared" si="4"/>
        <v>0</v>
      </c>
      <c r="R32" s="129">
        <f t="shared" si="5"/>
        <v>0</v>
      </c>
    </row>
    <row r="33" spans="2:18" ht="25.5" x14ac:dyDescent="0.25">
      <c r="B33" s="181">
        <v>11</v>
      </c>
      <c r="C33" s="135" t="s">
        <v>120</v>
      </c>
      <c r="D33" s="119" t="s">
        <v>3</v>
      </c>
      <c r="E33" s="115">
        <v>167.02761260899999</v>
      </c>
      <c r="F33" s="142">
        <f>'Labour cost Escalation Factor'!$J$10</f>
        <v>0.27984207704983549</v>
      </c>
      <c r="G33" s="176">
        <f>E33*(1+F33)</f>
        <v>213.76896664617786</v>
      </c>
      <c r="H33" s="176">
        <f>G33*$H$1</f>
        <v>320.65344996926677</v>
      </c>
      <c r="I33" s="166" t="s">
        <v>763</v>
      </c>
      <c r="J33" s="96">
        <v>12</v>
      </c>
      <c r="K33" s="129">
        <f t="shared" si="0"/>
        <v>2565.2275997541342</v>
      </c>
      <c r="L33" s="129">
        <f t="shared" si="1"/>
        <v>3847.8413996312011</v>
      </c>
      <c r="M33" s="96">
        <v>12</v>
      </c>
      <c r="N33" s="129">
        <f t="shared" si="2"/>
        <v>2565.2275997541342</v>
      </c>
      <c r="O33" s="129">
        <f t="shared" si="3"/>
        <v>3847.8413996312011</v>
      </c>
      <c r="P33" s="96">
        <v>12</v>
      </c>
      <c r="Q33" s="129">
        <f t="shared" si="4"/>
        <v>2565.2275997541342</v>
      </c>
      <c r="R33" s="129">
        <f t="shared" si="5"/>
        <v>3847.8413996312011</v>
      </c>
    </row>
    <row r="34" spans="2:18" ht="25.5" x14ac:dyDescent="0.25">
      <c r="B34" s="181">
        <v>12</v>
      </c>
      <c r="C34" s="135" t="s">
        <v>16</v>
      </c>
      <c r="D34" s="119" t="s">
        <v>7</v>
      </c>
      <c r="E34" s="115">
        <v>154.44054494</v>
      </c>
      <c r="F34" s="142">
        <f>'Labour cost Escalation Factor'!$J$10</f>
        <v>0.27984207704983549</v>
      </c>
      <c r="G34" s="176">
        <f>E34*(1+F34)</f>
        <v>197.65950781671808</v>
      </c>
      <c r="H34" s="115">
        <f>G34</f>
        <v>197.65950781671808</v>
      </c>
      <c r="I34" s="166" t="s">
        <v>763</v>
      </c>
      <c r="J34" s="96">
        <v>12</v>
      </c>
      <c r="K34" s="129">
        <f t="shared" si="0"/>
        <v>2371.9140938006167</v>
      </c>
      <c r="L34" s="129">
        <f t="shared" si="1"/>
        <v>2371.9140938006167</v>
      </c>
      <c r="M34" s="96">
        <v>12</v>
      </c>
      <c r="N34" s="129">
        <f t="shared" si="2"/>
        <v>2371.9140938006167</v>
      </c>
      <c r="O34" s="129">
        <f t="shared" si="3"/>
        <v>2371.9140938006167</v>
      </c>
      <c r="P34" s="96">
        <v>12</v>
      </c>
      <c r="Q34" s="129">
        <f t="shared" si="4"/>
        <v>2371.9140938006167</v>
      </c>
      <c r="R34" s="129">
        <f t="shared" si="5"/>
        <v>2371.9140938006167</v>
      </c>
    </row>
    <row r="35" spans="2:18" ht="76.5" x14ac:dyDescent="0.25">
      <c r="B35" s="181">
        <v>13</v>
      </c>
      <c r="C35" s="143" t="s">
        <v>354</v>
      </c>
      <c r="D35" s="180" t="s">
        <v>365</v>
      </c>
      <c r="E35" s="115">
        <v>356.91111981800003</v>
      </c>
      <c r="F35" s="142"/>
      <c r="G35" s="115">
        <f>4428.8*0.0283*5</f>
        <v>626.67520000000002</v>
      </c>
      <c r="H35" s="115">
        <f>G35</f>
        <v>626.67520000000002</v>
      </c>
      <c r="I35" s="65" t="s">
        <v>357</v>
      </c>
      <c r="J35" s="96">
        <v>12</v>
      </c>
      <c r="K35" s="129">
        <f t="shared" si="0"/>
        <v>7520.1023999999998</v>
      </c>
      <c r="L35" s="129">
        <f t="shared" si="1"/>
        <v>7520.1023999999998</v>
      </c>
      <c r="M35" s="96">
        <v>12</v>
      </c>
      <c r="N35" s="129">
        <f t="shared" si="2"/>
        <v>7520.1023999999998</v>
      </c>
      <c r="O35" s="129">
        <f t="shared" si="3"/>
        <v>7520.1023999999998</v>
      </c>
      <c r="P35" s="96">
        <v>12</v>
      </c>
      <c r="Q35" s="129">
        <f t="shared" si="4"/>
        <v>7520.1023999999998</v>
      </c>
      <c r="R35" s="129">
        <f t="shared" si="5"/>
        <v>7520.1023999999998</v>
      </c>
    </row>
    <row r="36" spans="2:18" ht="25.5" x14ac:dyDescent="0.25">
      <c r="B36" s="179">
        <v>14</v>
      </c>
      <c r="C36" s="143" t="s">
        <v>645</v>
      </c>
      <c r="D36" s="180" t="s">
        <v>157</v>
      </c>
      <c r="E36" s="115" t="s">
        <v>90</v>
      </c>
      <c r="F36" s="142"/>
      <c r="G36" s="115">
        <f>('Labour cost Escalation Factor'!$I$5*2*1.15*1.2)/10</f>
        <v>64.076159999999987</v>
      </c>
      <c r="H36" s="115">
        <f>G36</f>
        <v>64.076159999999987</v>
      </c>
      <c r="I36" s="166" t="s">
        <v>789</v>
      </c>
      <c r="J36" s="112">
        <v>14</v>
      </c>
      <c r="K36" s="129">
        <f t="shared" si="0"/>
        <v>897.06623999999988</v>
      </c>
      <c r="L36" s="129">
        <f t="shared" si="1"/>
        <v>897.06623999999988</v>
      </c>
      <c r="M36" s="112">
        <v>14</v>
      </c>
      <c r="N36" s="129">
        <f t="shared" si="2"/>
        <v>897.06623999999988</v>
      </c>
      <c r="O36" s="129">
        <f t="shared" si="3"/>
        <v>897.06623999999988</v>
      </c>
      <c r="P36" s="112">
        <v>14</v>
      </c>
      <c r="Q36" s="129">
        <f t="shared" si="4"/>
        <v>897.06623999999988</v>
      </c>
      <c r="R36" s="129">
        <f t="shared" si="5"/>
        <v>897.06623999999988</v>
      </c>
    </row>
    <row r="37" spans="2:18" ht="25.5" x14ac:dyDescent="0.25">
      <c r="B37" s="179">
        <v>15</v>
      </c>
      <c r="C37" s="143" t="s">
        <v>646</v>
      </c>
      <c r="D37" s="180" t="s">
        <v>158</v>
      </c>
      <c r="E37" s="115" t="s">
        <v>90</v>
      </c>
      <c r="F37" s="142"/>
      <c r="G37" s="115">
        <f>('Labour cost Escalation Factor'!$I$5*2*1.15*1.2)/5</f>
        <v>128.15231999999997</v>
      </c>
      <c r="H37" s="115">
        <f>G37</f>
        <v>128.15231999999997</v>
      </c>
      <c r="I37" s="166" t="s">
        <v>790</v>
      </c>
      <c r="J37" s="112">
        <v>3</v>
      </c>
      <c r="K37" s="129">
        <f t="shared" si="0"/>
        <v>384.45695999999992</v>
      </c>
      <c r="L37" s="129">
        <f t="shared" si="1"/>
        <v>384.45695999999992</v>
      </c>
      <c r="M37" s="112">
        <v>3</v>
      </c>
      <c r="N37" s="129">
        <f t="shared" si="2"/>
        <v>384.45695999999992</v>
      </c>
      <c r="O37" s="129">
        <f t="shared" si="3"/>
        <v>384.45695999999992</v>
      </c>
      <c r="P37" s="112">
        <v>3</v>
      </c>
      <c r="Q37" s="129">
        <f t="shared" si="4"/>
        <v>384.45695999999992</v>
      </c>
      <c r="R37" s="129">
        <f t="shared" si="5"/>
        <v>384.45695999999992</v>
      </c>
    </row>
    <row r="38" spans="2:18" ht="25.5" x14ac:dyDescent="0.25">
      <c r="B38" s="179">
        <v>16</v>
      </c>
      <c r="C38" s="143" t="s">
        <v>647</v>
      </c>
      <c r="D38" s="180" t="s">
        <v>159</v>
      </c>
      <c r="E38" s="115" t="s">
        <v>90</v>
      </c>
      <c r="F38" s="142"/>
      <c r="G38" s="115">
        <f>('Labour cost Escalation Factor'!$I$5*2*1.15*1.2)/5</f>
        <v>128.15231999999997</v>
      </c>
      <c r="H38" s="115">
        <f>G38</f>
        <v>128.15231999999997</v>
      </c>
      <c r="I38" s="166" t="s">
        <v>791</v>
      </c>
      <c r="J38" s="112">
        <v>3</v>
      </c>
      <c r="K38" s="129">
        <f t="shared" si="0"/>
        <v>384.45695999999992</v>
      </c>
      <c r="L38" s="129">
        <f t="shared" si="1"/>
        <v>384.45695999999992</v>
      </c>
      <c r="M38" s="112">
        <v>3</v>
      </c>
      <c r="N38" s="129">
        <f t="shared" si="2"/>
        <v>384.45695999999992</v>
      </c>
      <c r="O38" s="129">
        <f t="shared" si="3"/>
        <v>384.45695999999992</v>
      </c>
      <c r="P38" s="112">
        <v>3</v>
      </c>
      <c r="Q38" s="129">
        <f t="shared" si="4"/>
        <v>384.45695999999992</v>
      </c>
      <c r="R38" s="129">
        <f t="shared" si="5"/>
        <v>384.45695999999992</v>
      </c>
    </row>
    <row r="39" spans="2:18" ht="25.5" x14ac:dyDescent="0.25">
      <c r="B39" s="395">
        <v>17</v>
      </c>
      <c r="C39" s="143" t="s">
        <v>156</v>
      </c>
      <c r="D39" s="114"/>
      <c r="E39" s="114"/>
      <c r="F39" s="177"/>
      <c r="G39" s="114"/>
      <c r="H39" s="115"/>
      <c r="I39" s="68"/>
      <c r="J39" s="92"/>
      <c r="K39" s="129">
        <f t="shared" si="0"/>
        <v>0</v>
      </c>
      <c r="L39" s="129">
        <f t="shared" si="1"/>
        <v>0</v>
      </c>
      <c r="M39" s="92"/>
      <c r="N39" s="129">
        <f t="shared" si="2"/>
        <v>0</v>
      </c>
      <c r="O39" s="129">
        <f t="shared" si="3"/>
        <v>0</v>
      </c>
      <c r="P39" s="92"/>
      <c r="Q39" s="129">
        <f t="shared" si="4"/>
        <v>0</v>
      </c>
      <c r="R39" s="129">
        <f t="shared" si="5"/>
        <v>0</v>
      </c>
    </row>
    <row r="40" spans="2:18" ht="25.5" x14ac:dyDescent="0.25">
      <c r="B40" s="396"/>
      <c r="C40" s="143" t="s">
        <v>105</v>
      </c>
      <c r="D40" s="180" t="s">
        <v>8</v>
      </c>
      <c r="E40" s="113">
        <v>123.34020264500001</v>
      </c>
      <c r="F40" s="142">
        <f>'Labour cost Escalation Factor'!$J$10</f>
        <v>0.27984207704983549</v>
      </c>
      <c r="G40" s="115">
        <f>E40*(1+F40)</f>
        <v>157.85598113692441</v>
      </c>
      <c r="H40" s="115">
        <f t="shared" ref="H40:H45" si="6">G40</f>
        <v>157.85598113692441</v>
      </c>
      <c r="I40" s="166" t="s">
        <v>763</v>
      </c>
      <c r="J40" s="112">
        <v>14</v>
      </c>
      <c r="K40" s="129">
        <f t="shared" si="0"/>
        <v>2209.9837359169419</v>
      </c>
      <c r="L40" s="129">
        <f t="shared" si="1"/>
        <v>2209.9837359169419</v>
      </c>
      <c r="M40" s="112">
        <v>14</v>
      </c>
      <c r="N40" s="129">
        <f t="shared" si="2"/>
        <v>2209.9837359169419</v>
      </c>
      <c r="O40" s="129">
        <f t="shared" si="3"/>
        <v>2209.9837359169419</v>
      </c>
      <c r="P40" s="112">
        <v>14</v>
      </c>
      <c r="Q40" s="129">
        <f t="shared" si="4"/>
        <v>2209.9837359169419</v>
      </c>
      <c r="R40" s="129">
        <f t="shared" si="5"/>
        <v>2209.9837359169419</v>
      </c>
    </row>
    <row r="41" spans="2:18" ht="25.5" x14ac:dyDescent="0.25">
      <c r="B41" s="396"/>
      <c r="C41" s="143" t="s">
        <v>73</v>
      </c>
      <c r="D41" s="180" t="s">
        <v>14</v>
      </c>
      <c r="E41" s="113">
        <v>370.00428229599999</v>
      </c>
      <c r="F41" s="142">
        <f>'Labour cost Escalation Factor'!$J$10</f>
        <v>0.27984207704983549</v>
      </c>
      <c r="G41" s="115">
        <f>E41*(1+F41)</f>
        <v>473.5470491710463</v>
      </c>
      <c r="H41" s="115">
        <f t="shared" si="6"/>
        <v>473.5470491710463</v>
      </c>
      <c r="I41" s="166" t="s">
        <v>763</v>
      </c>
      <c r="J41" s="112">
        <v>3</v>
      </c>
      <c r="K41" s="129">
        <f t="shared" si="0"/>
        <v>1420.641147513139</v>
      </c>
      <c r="L41" s="129">
        <f t="shared" si="1"/>
        <v>1420.641147513139</v>
      </c>
      <c r="M41" s="112">
        <v>3</v>
      </c>
      <c r="N41" s="129">
        <f t="shared" si="2"/>
        <v>1420.641147513139</v>
      </c>
      <c r="O41" s="129">
        <f t="shared" si="3"/>
        <v>1420.641147513139</v>
      </c>
      <c r="P41" s="112">
        <v>3</v>
      </c>
      <c r="Q41" s="129">
        <f t="shared" si="4"/>
        <v>1420.641147513139</v>
      </c>
      <c r="R41" s="129">
        <f t="shared" si="5"/>
        <v>1420.641147513139</v>
      </c>
    </row>
    <row r="42" spans="2:18" x14ac:dyDescent="0.25">
      <c r="B42" s="396"/>
      <c r="C42" s="143" t="s">
        <v>199</v>
      </c>
      <c r="D42" s="180" t="s">
        <v>37</v>
      </c>
      <c r="E42" s="113" t="s">
        <v>90</v>
      </c>
      <c r="F42" s="142"/>
      <c r="G42" s="115">
        <f>G41+G40</f>
        <v>631.40303030797077</v>
      </c>
      <c r="H42" s="115">
        <f t="shared" si="6"/>
        <v>631.40303030797077</v>
      </c>
      <c r="I42" s="166" t="s">
        <v>767</v>
      </c>
      <c r="J42" s="112"/>
      <c r="K42" s="129">
        <f t="shared" si="0"/>
        <v>0</v>
      </c>
      <c r="L42" s="129">
        <f t="shared" si="1"/>
        <v>0</v>
      </c>
      <c r="M42" s="112"/>
      <c r="N42" s="129">
        <f t="shared" si="2"/>
        <v>0</v>
      </c>
      <c r="O42" s="129">
        <f t="shared" si="3"/>
        <v>0</v>
      </c>
      <c r="P42" s="112"/>
      <c r="Q42" s="129">
        <f t="shared" si="4"/>
        <v>0</v>
      </c>
      <c r="R42" s="129">
        <f t="shared" si="5"/>
        <v>0</v>
      </c>
    </row>
    <row r="43" spans="2:18" x14ac:dyDescent="0.25">
      <c r="B43" s="397"/>
      <c r="C43" s="143" t="s">
        <v>198</v>
      </c>
      <c r="D43" s="180" t="s">
        <v>91</v>
      </c>
      <c r="E43" s="113" t="s">
        <v>90</v>
      </c>
      <c r="F43" s="142"/>
      <c r="G43" s="115">
        <f>G41*2</f>
        <v>947.09409834209259</v>
      </c>
      <c r="H43" s="115">
        <f t="shared" si="6"/>
        <v>947.09409834209259</v>
      </c>
      <c r="I43" s="166" t="s">
        <v>788</v>
      </c>
      <c r="J43" s="112"/>
      <c r="K43" s="129">
        <f t="shared" si="0"/>
        <v>0</v>
      </c>
      <c r="L43" s="129">
        <f t="shared" si="1"/>
        <v>0</v>
      </c>
      <c r="M43" s="112"/>
      <c r="N43" s="129">
        <f t="shared" si="2"/>
        <v>0</v>
      </c>
      <c r="O43" s="129">
        <f t="shared" si="3"/>
        <v>0</v>
      </c>
      <c r="P43" s="112"/>
      <c r="Q43" s="129">
        <f t="shared" si="4"/>
        <v>0</v>
      </c>
      <c r="R43" s="129">
        <f t="shared" si="5"/>
        <v>0</v>
      </c>
    </row>
    <row r="44" spans="2:18" ht="25.5" x14ac:dyDescent="0.25">
      <c r="B44" s="392">
        <v>18</v>
      </c>
      <c r="C44" s="135" t="s">
        <v>356</v>
      </c>
      <c r="D44" s="119" t="s">
        <v>8</v>
      </c>
      <c r="E44" s="115">
        <v>51.474739767000003</v>
      </c>
      <c r="F44" s="142">
        <f>'Labour cost Escalation Factor'!$J$10</f>
        <v>0.27984207704983549</v>
      </c>
      <c r="G44" s="176">
        <f>E44*(1+F44)</f>
        <v>65.879537858997054</v>
      </c>
      <c r="H44" s="115">
        <f t="shared" si="6"/>
        <v>65.879537858997054</v>
      </c>
      <c r="I44" s="166" t="s">
        <v>763</v>
      </c>
      <c r="J44" s="96">
        <v>17</v>
      </c>
      <c r="K44" s="129">
        <f t="shared" si="0"/>
        <v>1119.9521436029499</v>
      </c>
      <c r="L44" s="129">
        <f t="shared" si="1"/>
        <v>1119.9521436029499</v>
      </c>
      <c r="M44" s="96">
        <v>17</v>
      </c>
      <c r="N44" s="129">
        <f t="shared" si="2"/>
        <v>1119.9521436029499</v>
      </c>
      <c r="O44" s="129">
        <f t="shared" si="3"/>
        <v>1119.9521436029499</v>
      </c>
      <c r="P44" s="96">
        <v>17</v>
      </c>
      <c r="Q44" s="129">
        <f t="shared" si="4"/>
        <v>1119.9521436029499</v>
      </c>
      <c r="R44" s="129">
        <f t="shared" si="5"/>
        <v>1119.9521436029499</v>
      </c>
    </row>
    <row r="45" spans="2:18" ht="25.5" x14ac:dyDescent="0.25">
      <c r="B45" s="393"/>
      <c r="C45" s="135" t="s">
        <v>171</v>
      </c>
      <c r="D45" s="119" t="s">
        <v>14</v>
      </c>
      <c r="E45" s="115">
        <v>175.02717571899998</v>
      </c>
      <c r="F45" s="142">
        <f>'Labour cost Escalation Factor'!$J$10</f>
        <v>0.27984207704983549</v>
      </c>
      <c r="G45" s="176">
        <f>E45*(1+F45)</f>
        <v>224.00714411237149</v>
      </c>
      <c r="H45" s="115">
        <f t="shared" si="6"/>
        <v>224.00714411237149</v>
      </c>
      <c r="I45" s="166" t="s">
        <v>763</v>
      </c>
      <c r="J45" s="96">
        <v>3</v>
      </c>
      <c r="K45" s="129">
        <f t="shared" si="0"/>
        <v>672.02143233711445</v>
      </c>
      <c r="L45" s="129">
        <f t="shared" si="1"/>
        <v>672.02143233711445</v>
      </c>
      <c r="M45" s="96">
        <v>3</v>
      </c>
      <c r="N45" s="129">
        <f t="shared" si="2"/>
        <v>672.02143233711445</v>
      </c>
      <c r="O45" s="129">
        <f t="shared" si="3"/>
        <v>672.02143233711445</v>
      </c>
      <c r="P45" s="96">
        <v>3</v>
      </c>
      <c r="Q45" s="129">
        <f t="shared" si="4"/>
        <v>672.02143233711445</v>
      </c>
      <c r="R45" s="129">
        <f t="shared" si="5"/>
        <v>672.02143233711445</v>
      </c>
    </row>
    <row r="46" spans="2:18" ht="38.25" x14ac:dyDescent="0.25">
      <c r="B46" s="392">
        <v>19</v>
      </c>
      <c r="C46" s="135" t="s">
        <v>121</v>
      </c>
      <c r="D46" s="119"/>
      <c r="E46" s="115"/>
      <c r="F46" s="142"/>
      <c r="G46" s="176"/>
      <c r="H46" s="115"/>
      <c r="I46" s="68"/>
      <c r="J46" s="96"/>
      <c r="K46" s="129">
        <f t="shared" si="0"/>
        <v>0</v>
      </c>
      <c r="L46" s="129">
        <f t="shared" si="1"/>
        <v>0</v>
      </c>
      <c r="M46" s="96"/>
      <c r="N46" s="129">
        <f t="shared" si="2"/>
        <v>0</v>
      </c>
      <c r="O46" s="129">
        <f t="shared" si="3"/>
        <v>0</v>
      </c>
      <c r="P46" s="96"/>
      <c r="Q46" s="129">
        <f t="shared" si="4"/>
        <v>0</v>
      </c>
      <c r="R46" s="129">
        <f t="shared" si="5"/>
        <v>0</v>
      </c>
    </row>
    <row r="47" spans="2:18" ht="25.5" x14ac:dyDescent="0.25">
      <c r="B47" s="393"/>
      <c r="C47" s="135" t="s">
        <v>135</v>
      </c>
      <c r="D47" s="119" t="s">
        <v>122</v>
      </c>
      <c r="E47" s="115">
        <v>7470</v>
      </c>
      <c r="F47" s="142">
        <f>'Labour cost Escalation Factor'!$J$10</f>
        <v>0.27984207704983549</v>
      </c>
      <c r="G47" s="176">
        <f>E47*(1+F47)</f>
        <v>9560.4203155622708</v>
      </c>
      <c r="H47" s="115">
        <f t="shared" ref="H47:H68" si="7">G47</f>
        <v>9560.4203155622708</v>
      </c>
      <c r="I47" s="166" t="s">
        <v>763</v>
      </c>
      <c r="J47" s="96">
        <v>3.18</v>
      </c>
      <c r="K47" s="129">
        <f t="shared" si="0"/>
        <v>30402.136603488023</v>
      </c>
      <c r="L47" s="129">
        <f t="shared" si="1"/>
        <v>30402.136603488023</v>
      </c>
      <c r="M47" s="96"/>
      <c r="N47" s="129">
        <f t="shared" si="2"/>
        <v>0</v>
      </c>
      <c r="O47" s="129">
        <f t="shared" si="3"/>
        <v>0</v>
      </c>
      <c r="P47" s="96"/>
      <c r="Q47" s="129">
        <f t="shared" si="4"/>
        <v>0</v>
      </c>
      <c r="R47" s="129">
        <f t="shared" si="5"/>
        <v>0</v>
      </c>
    </row>
    <row r="48" spans="2:18" ht="25.5" x14ac:dyDescent="0.25">
      <c r="B48" s="393"/>
      <c r="C48" s="135" t="s">
        <v>139</v>
      </c>
      <c r="D48" s="119" t="s">
        <v>122</v>
      </c>
      <c r="E48" s="115" t="s">
        <v>90</v>
      </c>
      <c r="F48" s="142"/>
      <c r="G48" s="115">
        <f>G47*(318/394)</f>
        <v>7716.2783257583806</v>
      </c>
      <c r="H48" s="115">
        <f t="shared" si="7"/>
        <v>7716.2783257583806</v>
      </c>
      <c r="I48" s="383" t="s">
        <v>768</v>
      </c>
      <c r="J48" s="96"/>
      <c r="K48" s="129">
        <f t="shared" si="0"/>
        <v>0</v>
      </c>
      <c r="L48" s="129">
        <f t="shared" si="1"/>
        <v>0</v>
      </c>
      <c r="M48" s="96">
        <v>3.18</v>
      </c>
      <c r="N48" s="129">
        <f t="shared" si="2"/>
        <v>24537.765075911651</v>
      </c>
      <c r="O48" s="129">
        <f t="shared" si="3"/>
        <v>24537.765075911651</v>
      </c>
      <c r="P48" s="96"/>
      <c r="Q48" s="129">
        <f t="shared" si="4"/>
        <v>0</v>
      </c>
      <c r="R48" s="129">
        <f t="shared" si="5"/>
        <v>0</v>
      </c>
    </row>
    <row r="49" spans="2:19" ht="25.5" x14ac:dyDescent="0.25">
      <c r="B49" s="394"/>
      <c r="C49" s="135" t="s">
        <v>140</v>
      </c>
      <c r="D49" s="119" t="s">
        <v>122</v>
      </c>
      <c r="E49" s="115" t="s">
        <v>90</v>
      </c>
      <c r="F49" s="142"/>
      <c r="G49" s="115">
        <f>G47*(128/394)</f>
        <v>3105.9233512486562</v>
      </c>
      <c r="H49" s="115">
        <f t="shared" si="7"/>
        <v>3105.9233512486562</v>
      </c>
      <c r="I49" s="385"/>
      <c r="J49" s="96"/>
      <c r="K49" s="129">
        <f t="shared" si="0"/>
        <v>0</v>
      </c>
      <c r="L49" s="129">
        <f t="shared" si="1"/>
        <v>0</v>
      </c>
      <c r="M49" s="96"/>
      <c r="N49" s="129">
        <f t="shared" si="2"/>
        <v>0</v>
      </c>
      <c r="O49" s="129">
        <f t="shared" si="3"/>
        <v>0</v>
      </c>
      <c r="P49" s="96">
        <v>3.18</v>
      </c>
      <c r="Q49" s="129">
        <f t="shared" si="4"/>
        <v>9876.8362569707278</v>
      </c>
      <c r="R49" s="129">
        <f t="shared" si="5"/>
        <v>9876.8362569707278</v>
      </c>
    </row>
    <row r="50" spans="2:19" ht="38.25" x14ac:dyDescent="0.25">
      <c r="B50" s="395">
        <v>20</v>
      </c>
      <c r="C50" s="143" t="s">
        <v>193</v>
      </c>
      <c r="D50" s="184"/>
      <c r="E50" s="124"/>
      <c r="F50" s="142"/>
      <c r="G50" s="185"/>
      <c r="H50" s="185"/>
      <c r="I50" s="146"/>
      <c r="J50" s="97"/>
      <c r="K50" s="129">
        <f t="shared" si="0"/>
        <v>0</v>
      </c>
      <c r="L50" s="129">
        <f t="shared" si="1"/>
        <v>0</v>
      </c>
      <c r="M50" s="97"/>
      <c r="N50" s="129">
        <f t="shared" si="2"/>
        <v>0</v>
      </c>
      <c r="O50" s="129">
        <f t="shared" si="3"/>
        <v>0</v>
      </c>
      <c r="P50" s="235"/>
      <c r="Q50" s="129">
        <f t="shared" si="4"/>
        <v>0</v>
      </c>
      <c r="R50" s="129">
        <f t="shared" si="5"/>
        <v>0</v>
      </c>
    </row>
    <row r="51" spans="2:19" ht="25.5" x14ac:dyDescent="0.25">
      <c r="B51" s="396"/>
      <c r="C51" s="143" t="s">
        <v>186</v>
      </c>
      <c r="D51" s="184" t="s">
        <v>128</v>
      </c>
      <c r="E51" s="124">
        <v>5336</v>
      </c>
      <c r="F51" s="142">
        <f>'Labour cost Escalation Factor'!$J$10</f>
        <v>0.27984207704983549</v>
      </c>
      <c r="G51" s="176">
        <f>E51*(1+F51)</f>
        <v>6829.2373231379224</v>
      </c>
      <c r="H51" s="176">
        <f>G51</f>
        <v>6829.2373231379224</v>
      </c>
      <c r="I51" s="166" t="s">
        <v>763</v>
      </c>
      <c r="J51" s="97"/>
      <c r="K51" s="129">
        <f t="shared" si="0"/>
        <v>0</v>
      </c>
      <c r="L51" s="129">
        <f t="shared" si="1"/>
        <v>0</v>
      </c>
      <c r="M51" s="97"/>
      <c r="N51" s="129">
        <f t="shared" si="2"/>
        <v>0</v>
      </c>
      <c r="O51" s="129">
        <f t="shared" si="3"/>
        <v>0</v>
      </c>
      <c r="P51" s="235"/>
      <c r="Q51" s="129">
        <f t="shared" si="4"/>
        <v>0</v>
      </c>
      <c r="R51" s="129">
        <f t="shared" si="5"/>
        <v>0</v>
      </c>
    </row>
    <row r="52" spans="2:19" ht="25.5" x14ac:dyDescent="0.25">
      <c r="B52" s="396"/>
      <c r="C52" s="143" t="s">
        <v>187</v>
      </c>
      <c r="D52" s="184" t="s">
        <v>128</v>
      </c>
      <c r="E52" s="185">
        <v>4802.3999655094376</v>
      </c>
      <c r="F52" s="142">
        <f>'Labour cost Escalation Factor'!$J$10</f>
        <v>0.27984207704983549</v>
      </c>
      <c r="G52" s="176">
        <f>E52*(1+F52)</f>
        <v>6146.3135466816575</v>
      </c>
      <c r="H52" s="176">
        <f>G52</f>
        <v>6146.3135466816575</v>
      </c>
      <c r="I52" s="166" t="s">
        <v>763</v>
      </c>
      <c r="J52" s="97"/>
      <c r="K52" s="129">
        <f t="shared" si="0"/>
        <v>0</v>
      </c>
      <c r="L52" s="129">
        <f t="shared" si="1"/>
        <v>0</v>
      </c>
      <c r="M52" s="97"/>
      <c r="N52" s="129">
        <f t="shared" si="2"/>
        <v>0</v>
      </c>
      <c r="O52" s="129">
        <f t="shared" si="3"/>
        <v>0</v>
      </c>
      <c r="P52" s="235"/>
      <c r="Q52" s="129">
        <f t="shared" si="4"/>
        <v>0</v>
      </c>
      <c r="R52" s="129">
        <f t="shared" si="5"/>
        <v>0</v>
      </c>
    </row>
    <row r="53" spans="2:19" ht="25.5" x14ac:dyDescent="0.25">
      <c r="B53" s="396"/>
      <c r="C53" s="143" t="s">
        <v>188</v>
      </c>
      <c r="D53" s="184" t="s">
        <v>397</v>
      </c>
      <c r="E53" s="185">
        <v>3281.9092814514529</v>
      </c>
      <c r="F53" s="142">
        <f>'Labour cost Escalation Factor'!$J$10</f>
        <v>0.27984207704983549</v>
      </c>
      <c r="G53" s="176">
        <f>E53*(1+F53)</f>
        <v>4200.3255914619604</v>
      </c>
      <c r="H53" s="176">
        <f>G53</f>
        <v>4200.3255914619604</v>
      </c>
      <c r="I53" s="166" t="s">
        <v>763</v>
      </c>
      <c r="J53" s="97"/>
      <c r="K53" s="129">
        <f t="shared" si="0"/>
        <v>0</v>
      </c>
      <c r="L53" s="129">
        <f t="shared" si="1"/>
        <v>0</v>
      </c>
      <c r="M53" s="97"/>
      <c r="N53" s="129">
        <f t="shared" si="2"/>
        <v>0</v>
      </c>
      <c r="O53" s="129">
        <f t="shared" si="3"/>
        <v>0</v>
      </c>
      <c r="P53" s="235"/>
      <c r="Q53" s="129">
        <f t="shared" si="4"/>
        <v>0</v>
      </c>
      <c r="R53" s="129">
        <f t="shared" si="5"/>
        <v>0</v>
      </c>
    </row>
    <row r="54" spans="2:19" ht="25.5" x14ac:dyDescent="0.25">
      <c r="B54" s="397"/>
      <c r="C54" s="143" t="s">
        <v>189</v>
      </c>
      <c r="D54" s="184" t="s">
        <v>397</v>
      </c>
      <c r="E54" s="185">
        <v>2398.3340678458908</v>
      </c>
      <c r="F54" s="142">
        <f>'Labour cost Escalation Factor'!$J$10</f>
        <v>0.27984207704983549</v>
      </c>
      <c r="G54" s="176">
        <f>E54*(1+F54)</f>
        <v>3069.4888548512663</v>
      </c>
      <c r="H54" s="176">
        <f>G54</f>
        <v>3069.4888548512663</v>
      </c>
      <c r="I54" s="166" t="s">
        <v>763</v>
      </c>
      <c r="J54" s="97"/>
      <c r="K54" s="129">
        <f t="shared" si="0"/>
        <v>0</v>
      </c>
      <c r="L54" s="129">
        <f t="shared" si="1"/>
        <v>0</v>
      </c>
      <c r="M54" s="97"/>
      <c r="N54" s="129">
        <f t="shared" si="2"/>
        <v>0</v>
      </c>
      <c r="O54" s="129">
        <f t="shared" si="3"/>
        <v>0</v>
      </c>
      <c r="P54" s="235"/>
      <c r="Q54" s="129">
        <f t="shared" si="4"/>
        <v>0</v>
      </c>
      <c r="R54" s="129">
        <f t="shared" si="5"/>
        <v>0</v>
      </c>
    </row>
    <row r="55" spans="2:19" ht="38.25" x14ac:dyDescent="0.25">
      <c r="B55" s="395">
        <v>21</v>
      </c>
      <c r="C55" s="143" t="s">
        <v>161</v>
      </c>
      <c r="D55" s="180" t="s">
        <v>160</v>
      </c>
      <c r="E55" s="113" t="s">
        <v>90</v>
      </c>
      <c r="F55" s="142"/>
      <c r="G55" s="115">
        <f>G47*1.5</f>
        <v>14340.630473343406</v>
      </c>
      <c r="H55" s="115">
        <f t="shared" si="7"/>
        <v>14340.630473343406</v>
      </c>
      <c r="I55" s="383" t="s">
        <v>648</v>
      </c>
      <c r="J55" s="112"/>
      <c r="K55" s="129">
        <f t="shared" si="0"/>
        <v>0</v>
      </c>
      <c r="L55" s="129">
        <f t="shared" si="1"/>
        <v>0</v>
      </c>
      <c r="M55" s="112"/>
      <c r="N55" s="129">
        <f t="shared" si="2"/>
        <v>0</v>
      </c>
      <c r="O55" s="129">
        <f t="shared" si="3"/>
        <v>0</v>
      </c>
      <c r="P55" s="112"/>
      <c r="Q55" s="129">
        <f t="shared" si="4"/>
        <v>0</v>
      </c>
      <c r="R55" s="129">
        <f t="shared" si="5"/>
        <v>0</v>
      </c>
    </row>
    <row r="56" spans="2:19" ht="38.25" x14ac:dyDescent="0.25">
      <c r="B56" s="397"/>
      <c r="C56" s="143" t="s">
        <v>176</v>
      </c>
      <c r="D56" s="180" t="s">
        <v>160</v>
      </c>
      <c r="E56" s="113" t="s">
        <v>90</v>
      </c>
      <c r="F56" s="142"/>
      <c r="G56" s="115">
        <f>G48*1.5</f>
        <v>11574.417488637571</v>
      </c>
      <c r="H56" s="115">
        <f t="shared" si="7"/>
        <v>11574.417488637571</v>
      </c>
      <c r="I56" s="385"/>
      <c r="J56" s="112"/>
      <c r="K56" s="129">
        <f t="shared" si="0"/>
        <v>0</v>
      </c>
      <c r="L56" s="129">
        <f t="shared" si="1"/>
        <v>0</v>
      </c>
      <c r="M56" s="112"/>
      <c r="N56" s="129">
        <f t="shared" si="2"/>
        <v>0</v>
      </c>
      <c r="O56" s="129">
        <f t="shared" si="3"/>
        <v>0</v>
      </c>
      <c r="P56" s="112"/>
      <c r="Q56" s="129">
        <f t="shared" si="4"/>
        <v>0</v>
      </c>
      <c r="R56" s="129">
        <f t="shared" si="5"/>
        <v>0</v>
      </c>
    </row>
    <row r="57" spans="2:19" ht="38.25" x14ac:dyDescent="0.25">
      <c r="B57" s="395">
        <v>22</v>
      </c>
      <c r="C57" s="143" t="s">
        <v>164</v>
      </c>
      <c r="D57" s="180" t="s">
        <v>160</v>
      </c>
      <c r="E57" s="113" t="s">
        <v>90</v>
      </c>
      <c r="F57" s="142"/>
      <c r="G57" s="115">
        <f>G47*2</f>
        <v>19120.840631124542</v>
      </c>
      <c r="H57" s="115">
        <f t="shared" si="7"/>
        <v>19120.840631124542</v>
      </c>
      <c r="I57" s="383" t="s">
        <v>649</v>
      </c>
      <c r="J57" s="112"/>
      <c r="K57" s="129">
        <f t="shared" si="0"/>
        <v>0</v>
      </c>
      <c r="L57" s="129">
        <f t="shared" si="1"/>
        <v>0</v>
      </c>
      <c r="M57" s="112"/>
      <c r="N57" s="129">
        <f t="shared" si="2"/>
        <v>0</v>
      </c>
      <c r="O57" s="129">
        <f t="shared" si="3"/>
        <v>0</v>
      </c>
      <c r="P57" s="112"/>
      <c r="Q57" s="129">
        <f t="shared" si="4"/>
        <v>0</v>
      </c>
      <c r="R57" s="129">
        <f t="shared" si="5"/>
        <v>0</v>
      </c>
    </row>
    <row r="58" spans="2:19" ht="38.25" x14ac:dyDescent="0.25">
      <c r="B58" s="397"/>
      <c r="C58" s="143" t="s">
        <v>177</v>
      </c>
      <c r="D58" s="180" t="s">
        <v>160</v>
      </c>
      <c r="E58" s="113" t="s">
        <v>90</v>
      </c>
      <c r="F58" s="142"/>
      <c r="G58" s="115">
        <f>G48*2</f>
        <v>15432.556651516761</v>
      </c>
      <c r="H58" s="115">
        <f t="shared" si="7"/>
        <v>15432.556651516761</v>
      </c>
      <c r="I58" s="385"/>
      <c r="J58" s="112"/>
      <c r="K58" s="129">
        <f t="shared" si="0"/>
        <v>0</v>
      </c>
      <c r="L58" s="129">
        <f t="shared" si="1"/>
        <v>0</v>
      </c>
      <c r="M58" s="112"/>
      <c r="N58" s="129">
        <f t="shared" si="2"/>
        <v>0</v>
      </c>
      <c r="O58" s="129">
        <f t="shared" si="3"/>
        <v>0</v>
      </c>
      <c r="P58" s="112"/>
      <c r="Q58" s="129">
        <f t="shared" si="4"/>
        <v>0</v>
      </c>
      <c r="R58" s="129">
        <f t="shared" si="5"/>
        <v>0</v>
      </c>
    </row>
    <row r="59" spans="2:19" ht="25.5" x14ac:dyDescent="0.25">
      <c r="B59" s="181">
        <v>23</v>
      </c>
      <c r="C59" s="135" t="s">
        <v>172</v>
      </c>
      <c r="D59" s="119" t="s">
        <v>8</v>
      </c>
      <c r="E59" s="115">
        <v>51.474739767000003</v>
      </c>
      <c r="F59" s="142">
        <f>'Labour cost Escalation Factor'!$J$10</f>
        <v>0.27984207704983549</v>
      </c>
      <c r="G59" s="176">
        <f t="shared" ref="G59:G69" si="8">E59*(1+F59)</f>
        <v>65.879537858997054</v>
      </c>
      <c r="H59" s="115">
        <f t="shared" si="7"/>
        <v>65.879537858997054</v>
      </c>
      <c r="I59" s="166" t="s">
        <v>763</v>
      </c>
      <c r="J59" s="96">
        <v>17</v>
      </c>
      <c r="K59" s="129">
        <f t="shared" si="0"/>
        <v>1119.9521436029499</v>
      </c>
      <c r="L59" s="129">
        <f t="shared" si="1"/>
        <v>1119.9521436029499</v>
      </c>
      <c r="M59" s="96">
        <v>17</v>
      </c>
      <c r="N59" s="129">
        <f t="shared" si="2"/>
        <v>1119.9521436029499</v>
      </c>
      <c r="O59" s="129">
        <f t="shared" si="3"/>
        <v>1119.9521436029499</v>
      </c>
      <c r="P59" s="96">
        <v>17</v>
      </c>
      <c r="Q59" s="129">
        <f t="shared" si="4"/>
        <v>1119.9521436029499</v>
      </c>
      <c r="R59" s="129">
        <f t="shared" si="5"/>
        <v>1119.9521436029499</v>
      </c>
    </row>
    <row r="60" spans="2:19" ht="25.5" x14ac:dyDescent="0.25">
      <c r="B60" s="181">
        <v>24</v>
      </c>
      <c r="C60" s="135" t="s">
        <v>173</v>
      </c>
      <c r="D60" s="119" t="s">
        <v>14</v>
      </c>
      <c r="E60" s="113">
        <v>96.51717776800001</v>
      </c>
      <c r="F60" s="142">
        <f>'Labour cost Escalation Factor'!$J$10</f>
        <v>0.27984207704983549</v>
      </c>
      <c r="G60" s="115">
        <f t="shared" si="8"/>
        <v>123.52674526558535</v>
      </c>
      <c r="H60" s="115">
        <f t="shared" si="7"/>
        <v>123.52674526558535</v>
      </c>
      <c r="I60" s="166" t="s">
        <v>763</v>
      </c>
      <c r="J60" s="96">
        <v>3</v>
      </c>
      <c r="K60" s="129">
        <f t="shared" si="0"/>
        <v>370.58023579675603</v>
      </c>
      <c r="L60" s="129">
        <f t="shared" si="1"/>
        <v>370.58023579675603</v>
      </c>
      <c r="M60" s="96">
        <v>3</v>
      </c>
      <c r="N60" s="129">
        <f t="shared" si="2"/>
        <v>370.58023579675603</v>
      </c>
      <c r="O60" s="129">
        <f t="shared" si="3"/>
        <v>370.58023579675603</v>
      </c>
      <c r="P60" s="96">
        <v>3</v>
      </c>
      <c r="Q60" s="129">
        <f t="shared" si="4"/>
        <v>370.58023579675603</v>
      </c>
      <c r="R60" s="129">
        <f t="shared" si="5"/>
        <v>370.58023579675603</v>
      </c>
    </row>
    <row r="61" spans="2:19" ht="25.5" x14ac:dyDescent="0.25">
      <c r="B61" s="181">
        <v>25</v>
      </c>
      <c r="C61" s="135" t="s">
        <v>130</v>
      </c>
      <c r="D61" s="119" t="s">
        <v>25</v>
      </c>
      <c r="E61" s="115">
        <v>267.69122400000003</v>
      </c>
      <c r="F61" s="142">
        <f>'Labour cost Escalation Factor'!$J$10</f>
        <v>0.27984207704983549</v>
      </c>
      <c r="G61" s="176">
        <f t="shared" si="8"/>
        <v>342.60249213217281</v>
      </c>
      <c r="H61" s="115">
        <f t="shared" si="7"/>
        <v>342.60249213217281</v>
      </c>
      <c r="I61" s="166" t="s">
        <v>763</v>
      </c>
      <c r="J61" s="96">
        <v>20</v>
      </c>
      <c r="K61" s="129">
        <f t="shared" si="0"/>
        <v>6852.049842643456</v>
      </c>
      <c r="L61" s="129">
        <f t="shared" si="1"/>
        <v>6852.049842643456</v>
      </c>
      <c r="M61" s="96">
        <v>20</v>
      </c>
      <c r="N61" s="129">
        <f t="shared" si="2"/>
        <v>6852.049842643456</v>
      </c>
      <c r="O61" s="129">
        <f t="shared" si="3"/>
        <v>6852.049842643456</v>
      </c>
      <c r="P61" s="96">
        <v>20</v>
      </c>
      <c r="Q61" s="129">
        <f t="shared" si="4"/>
        <v>6852.049842643456</v>
      </c>
      <c r="R61" s="129">
        <f t="shared" si="5"/>
        <v>6852.049842643456</v>
      </c>
    </row>
    <row r="62" spans="2:19" ht="25.5" x14ac:dyDescent="0.25">
      <c r="B62" s="181">
        <v>26</v>
      </c>
      <c r="C62" s="143" t="s">
        <v>26</v>
      </c>
      <c r="D62" s="180" t="s">
        <v>21</v>
      </c>
      <c r="E62" s="113">
        <v>1959.9092875889999</v>
      </c>
      <c r="F62" s="142">
        <f>'Labour cost Escalation Factor'!$J$10</f>
        <v>0.27984207704983549</v>
      </c>
      <c r="G62" s="115">
        <f t="shared" si="8"/>
        <v>2508.374373457169</v>
      </c>
      <c r="H62" s="115">
        <f t="shared" si="7"/>
        <v>2508.374373457169</v>
      </c>
      <c r="I62" s="166" t="s">
        <v>763</v>
      </c>
      <c r="J62" s="112">
        <v>3.18</v>
      </c>
      <c r="K62" s="129">
        <f t="shared" si="0"/>
        <v>7976.630507593798</v>
      </c>
      <c r="L62" s="129">
        <f t="shared" si="1"/>
        <v>7976.630507593798</v>
      </c>
      <c r="M62" s="112">
        <v>3.18</v>
      </c>
      <c r="N62" s="129">
        <f t="shared" si="2"/>
        <v>7976.630507593798</v>
      </c>
      <c r="O62" s="129">
        <f t="shared" si="3"/>
        <v>7976.630507593798</v>
      </c>
      <c r="P62" s="112">
        <v>3.18</v>
      </c>
      <c r="Q62" s="129">
        <f t="shared" si="4"/>
        <v>7976.630507593798</v>
      </c>
      <c r="R62" s="129">
        <f t="shared" si="5"/>
        <v>7976.630507593798</v>
      </c>
      <c r="S62" s="37"/>
    </row>
    <row r="63" spans="2:19" ht="38.25" x14ac:dyDescent="0.25">
      <c r="B63" s="181">
        <v>27</v>
      </c>
      <c r="C63" s="135" t="s">
        <v>174</v>
      </c>
      <c r="D63" s="119" t="s">
        <v>17</v>
      </c>
      <c r="E63" s="115">
        <v>916.30914015299993</v>
      </c>
      <c r="F63" s="142">
        <f>'Labour cost Escalation Factor'!$J$10</f>
        <v>0.27984207704983549</v>
      </c>
      <c r="G63" s="176">
        <f t="shared" si="8"/>
        <v>1172.7309931531643</v>
      </c>
      <c r="H63" s="115">
        <f t="shared" si="7"/>
        <v>1172.7309931531643</v>
      </c>
      <c r="I63" s="166" t="s">
        <v>763</v>
      </c>
      <c r="J63" s="96">
        <v>3</v>
      </c>
      <c r="K63" s="129">
        <f t="shared" si="0"/>
        <v>3518.1929794594926</v>
      </c>
      <c r="L63" s="129">
        <f t="shared" si="1"/>
        <v>3518.1929794594926</v>
      </c>
      <c r="M63" s="96">
        <v>3</v>
      </c>
      <c r="N63" s="129">
        <f t="shared" si="2"/>
        <v>3518.1929794594926</v>
      </c>
      <c r="O63" s="129">
        <f t="shared" si="3"/>
        <v>3518.1929794594926</v>
      </c>
      <c r="P63" s="96">
        <v>3</v>
      </c>
      <c r="Q63" s="129">
        <f t="shared" si="4"/>
        <v>3518.1929794594926</v>
      </c>
      <c r="R63" s="129">
        <f t="shared" si="5"/>
        <v>3518.1929794594926</v>
      </c>
    </row>
    <row r="64" spans="2:19" ht="25.5" x14ac:dyDescent="0.25">
      <c r="B64" s="181">
        <v>28</v>
      </c>
      <c r="C64" s="143" t="s">
        <v>650</v>
      </c>
      <c r="D64" s="180" t="s">
        <v>175</v>
      </c>
      <c r="E64" s="113">
        <v>26.806699238000004</v>
      </c>
      <c r="F64" s="142">
        <f>'Labour cost Escalation Factor'!$J$10</f>
        <v>0.27984207704983549</v>
      </c>
      <c r="G64" s="115">
        <f>E64*(1+F64)</f>
        <v>34.308341631612166</v>
      </c>
      <c r="H64" s="115">
        <f t="shared" si="7"/>
        <v>34.308341631612166</v>
      </c>
      <c r="I64" s="166" t="s">
        <v>763</v>
      </c>
      <c r="J64" s="96">
        <v>20</v>
      </c>
      <c r="K64" s="129">
        <f t="shared" si="0"/>
        <v>686.16683263224331</v>
      </c>
      <c r="L64" s="129">
        <f t="shared" si="1"/>
        <v>686.16683263224331</v>
      </c>
      <c r="M64" s="96">
        <v>20</v>
      </c>
      <c r="N64" s="129">
        <f t="shared" si="2"/>
        <v>686.16683263224331</v>
      </c>
      <c r="O64" s="129">
        <f t="shared" si="3"/>
        <v>686.16683263224331</v>
      </c>
      <c r="P64" s="96">
        <v>20</v>
      </c>
      <c r="Q64" s="129">
        <f t="shared" si="4"/>
        <v>686.16683263224331</v>
      </c>
      <c r="R64" s="129">
        <f t="shared" si="5"/>
        <v>686.16683263224331</v>
      </c>
    </row>
    <row r="65" spans="2:18" ht="25.5" x14ac:dyDescent="0.25">
      <c r="B65" s="181">
        <v>29</v>
      </c>
      <c r="C65" s="143" t="s">
        <v>355</v>
      </c>
      <c r="D65" s="180" t="s">
        <v>651</v>
      </c>
      <c r="E65" s="113">
        <f>10.725944823*3.2</f>
        <v>34.323023433600007</v>
      </c>
      <c r="F65" s="142">
        <f>'Labour cost Escalation Factor'!$J$10</f>
        <v>0.27984207704983549</v>
      </c>
      <c r="G65" s="115">
        <f>E65*(1+F65)</f>
        <v>43.928049601888809</v>
      </c>
      <c r="H65" s="115">
        <f>G65</f>
        <v>43.928049601888809</v>
      </c>
      <c r="I65" s="166" t="s">
        <v>763</v>
      </c>
      <c r="J65" s="96">
        <v>400</v>
      </c>
      <c r="K65" s="129">
        <f t="shared" si="0"/>
        <v>17571.219840755522</v>
      </c>
      <c r="L65" s="129">
        <f t="shared" si="1"/>
        <v>17571.219840755522</v>
      </c>
      <c r="M65" s="96">
        <v>400</v>
      </c>
      <c r="N65" s="129">
        <f t="shared" si="2"/>
        <v>17571.219840755522</v>
      </c>
      <c r="O65" s="129">
        <f t="shared" si="3"/>
        <v>17571.219840755522</v>
      </c>
      <c r="P65" s="96">
        <v>400</v>
      </c>
      <c r="Q65" s="129">
        <f t="shared" si="4"/>
        <v>17571.219840755522</v>
      </c>
      <c r="R65" s="129">
        <f t="shared" si="5"/>
        <v>17571.219840755522</v>
      </c>
    </row>
    <row r="66" spans="2:18" ht="25.5" x14ac:dyDescent="0.25">
      <c r="B66" s="181">
        <v>30</v>
      </c>
      <c r="C66" s="135" t="s">
        <v>179</v>
      </c>
      <c r="D66" s="119" t="s">
        <v>85</v>
      </c>
      <c r="E66" s="113">
        <v>34.855239265000002</v>
      </c>
      <c r="F66" s="142">
        <f>'Labour cost Escalation Factor'!$J$10</f>
        <v>0.27984207704983549</v>
      </c>
      <c r="G66" s="115">
        <f t="shared" si="8"/>
        <v>44.609201816986584</v>
      </c>
      <c r="H66" s="115">
        <f t="shared" si="7"/>
        <v>44.609201816986584</v>
      </c>
      <c r="I66" s="166" t="s">
        <v>763</v>
      </c>
      <c r="J66" s="96">
        <v>14</v>
      </c>
      <c r="K66" s="129">
        <f t="shared" si="0"/>
        <v>624.5288254378122</v>
      </c>
      <c r="L66" s="129">
        <f t="shared" si="1"/>
        <v>624.5288254378122</v>
      </c>
      <c r="M66" s="96">
        <v>14</v>
      </c>
      <c r="N66" s="129">
        <f t="shared" si="2"/>
        <v>624.5288254378122</v>
      </c>
      <c r="O66" s="129">
        <f t="shared" si="3"/>
        <v>624.5288254378122</v>
      </c>
      <c r="P66" s="96">
        <v>14</v>
      </c>
      <c r="Q66" s="129">
        <f t="shared" si="4"/>
        <v>624.5288254378122</v>
      </c>
      <c r="R66" s="129">
        <f t="shared" si="5"/>
        <v>624.5288254378122</v>
      </c>
    </row>
    <row r="67" spans="2:18" ht="25.5" x14ac:dyDescent="0.25">
      <c r="B67" s="181">
        <v>31</v>
      </c>
      <c r="C67" s="143" t="s">
        <v>34</v>
      </c>
      <c r="D67" s="180" t="s">
        <v>11</v>
      </c>
      <c r="E67" s="113">
        <v>34.855239265000002</v>
      </c>
      <c r="F67" s="142">
        <f>'Labour cost Escalation Factor'!$J$10</f>
        <v>0.27984207704983549</v>
      </c>
      <c r="G67" s="115">
        <f t="shared" si="8"/>
        <v>44.609201816986584</v>
      </c>
      <c r="H67" s="115">
        <f t="shared" si="7"/>
        <v>44.609201816986584</v>
      </c>
      <c r="I67" s="166" t="s">
        <v>763</v>
      </c>
      <c r="J67" s="96">
        <v>20</v>
      </c>
      <c r="K67" s="129">
        <f t="shared" si="0"/>
        <v>892.18403633973162</v>
      </c>
      <c r="L67" s="129">
        <f t="shared" si="1"/>
        <v>892.18403633973162</v>
      </c>
      <c r="M67" s="96">
        <v>20</v>
      </c>
      <c r="N67" s="129">
        <f t="shared" si="2"/>
        <v>892.18403633973162</v>
      </c>
      <c r="O67" s="129">
        <f t="shared" si="3"/>
        <v>892.18403633973162</v>
      </c>
      <c r="P67" s="96">
        <v>20</v>
      </c>
      <c r="Q67" s="129">
        <f t="shared" si="4"/>
        <v>892.18403633973162</v>
      </c>
      <c r="R67" s="129">
        <f t="shared" si="5"/>
        <v>892.18403633973162</v>
      </c>
    </row>
    <row r="68" spans="2:18" ht="25.5" x14ac:dyDescent="0.25">
      <c r="B68" s="179">
        <v>32</v>
      </c>
      <c r="C68" s="143" t="s">
        <v>652</v>
      </c>
      <c r="D68" s="180" t="s">
        <v>31</v>
      </c>
      <c r="E68" s="117" t="s">
        <v>90</v>
      </c>
      <c r="F68" s="142"/>
      <c r="G68" s="113">
        <v>34.31</v>
      </c>
      <c r="H68" s="115">
        <f t="shared" si="7"/>
        <v>34.31</v>
      </c>
      <c r="I68" s="153" t="s">
        <v>673</v>
      </c>
      <c r="J68" s="111">
        <f>6*10</f>
        <v>60</v>
      </c>
      <c r="K68" s="129">
        <f t="shared" si="0"/>
        <v>2058.6000000000004</v>
      </c>
      <c r="L68" s="129">
        <f t="shared" si="1"/>
        <v>2058.6000000000004</v>
      </c>
      <c r="M68" s="111">
        <f>6*10</f>
        <v>60</v>
      </c>
      <c r="N68" s="129">
        <f t="shared" si="2"/>
        <v>2058.6000000000004</v>
      </c>
      <c r="O68" s="129">
        <f t="shared" si="3"/>
        <v>2058.6000000000004</v>
      </c>
      <c r="P68" s="111">
        <f>6*10</f>
        <v>60</v>
      </c>
      <c r="Q68" s="129">
        <f t="shared" si="4"/>
        <v>2058.6000000000004</v>
      </c>
      <c r="R68" s="129">
        <f t="shared" si="5"/>
        <v>2058.6000000000004</v>
      </c>
    </row>
    <row r="69" spans="2:18" ht="25.5" x14ac:dyDescent="0.25">
      <c r="B69" s="181">
        <v>33</v>
      </c>
      <c r="C69" s="143" t="s">
        <v>653</v>
      </c>
      <c r="D69" s="180" t="s">
        <v>83</v>
      </c>
      <c r="E69" s="115">
        <v>268.11596929699999</v>
      </c>
      <c r="F69" s="142">
        <f>'Labour cost Escalation Factor'!$J$10</f>
        <v>0.27984207704983549</v>
      </c>
      <c r="G69" s="115">
        <f t="shared" si="8"/>
        <v>343.14609903530243</v>
      </c>
      <c r="H69" s="115">
        <f>G69</f>
        <v>343.14609903530243</v>
      </c>
      <c r="I69" s="166" t="s">
        <v>763</v>
      </c>
      <c r="J69" s="96">
        <v>3.18</v>
      </c>
      <c r="K69" s="129">
        <f t="shared" si="0"/>
        <v>1091.2045949322617</v>
      </c>
      <c r="L69" s="129">
        <f t="shared" si="1"/>
        <v>1091.2045949322617</v>
      </c>
      <c r="M69" s="96">
        <v>3.18</v>
      </c>
      <c r="N69" s="129">
        <f t="shared" si="2"/>
        <v>1091.2045949322617</v>
      </c>
      <c r="O69" s="129">
        <f t="shared" si="3"/>
        <v>1091.2045949322617</v>
      </c>
      <c r="P69" s="96">
        <v>3.18</v>
      </c>
      <c r="Q69" s="129">
        <f t="shared" si="4"/>
        <v>1091.2045949322617</v>
      </c>
      <c r="R69" s="129">
        <f t="shared" si="5"/>
        <v>1091.2045949322617</v>
      </c>
    </row>
    <row r="70" spans="2:18" ht="25.5" x14ac:dyDescent="0.25">
      <c r="B70" s="181">
        <v>34</v>
      </c>
      <c r="C70" s="143" t="s">
        <v>654</v>
      </c>
      <c r="D70" s="180" t="s">
        <v>83</v>
      </c>
      <c r="E70" s="115" t="s">
        <v>90</v>
      </c>
      <c r="F70" s="142"/>
      <c r="G70" s="115">
        <f>(((9*'Labour cost Escalation Factor'!I5)+('Labour cost Escalation Factor'!I6*1))*1.15*1.2)/5</f>
        <v>661.14972</v>
      </c>
      <c r="H70" s="115">
        <f>G70</f>
        <v>661.14972</v>
      </c>
      <c r="I70" s="153" t="s">
        <v>380</v>
      </c>
      <c r="J70" s="96"/>
      <c r="K70" s="129">
        <f t="shared" si="0"/>
        <v>0</v>
      </c>
      <c r="L70" s="129">
        <f t="shared" si="1"/>
        <v>0</v>
      </c>
      <c r="M70" s="96"/>
      <c r="N70" s="129">
        <f t="shared" si="2"/>
        <v>0</v>
      </c>
      <c r="O70" s="129">
        <f t="shared" si="3"/>
        <v>0</v>
      </c>
      <c r="P70" s="96"/>
      <c r="Q70" s="129">
        <f t="shared" si="4"/>
        <v>0</v>
      </c>
      <c r="R70" s="129">
        <f t="shared" si="5"/>
        <v>0</v>
      </c>
    </row>
    <row r="71" spans="2:18" ht="25.5" x14ac:dyDescent="0.25">
      <c r="B71" s="181">
        <v>35</v>
      </c>
      <c r="C71" s="135" t="s">
        <v>19</v>
      </c>
      <c r="D71" s="119" t="s">
        <v>83</v>
      </c>
      <c r="E71" s="115">
        <v>804.34790789099998</v>
      </c>
      <c r="F71" s="142">
        <f>'Labour cost Escalation Factor'!$J$10</f>
        <v>0.27984207704983549</v>
      </c>
      <c r="G71" s="115">
        <f>E71*(1+F71)</f>
        <v>1029.4382971059072</v>
      </c>
      <c r="H71" s="115">
        <f>G71</f>
        <v>1029.4382971059072</v>
      </c>
      <c r="I71" s="166" t="s">
        <v>763</v>
      </c>
      <c r="J71" s="96">
        <v>3.18</v>
      </c>
      <c r="K71" s="129">
        <f t="shared" ref="K71:K72" si="9">$G71*J71</f>
        <v>3273.6137847967848</v>
      </c>
      <c r="L71" s="129">
        <f t="shared" ref="L71:L72" si="10">$H71*J71</f>
        <v>3273.6137847967848</v>
      </c>
      <c r="M71" s="96">
        <v>3.18</v>
      </c>
      <c r="N71" s="129">
        <f t="shared" ref="N71:N72" si="11">$G71*M71</f>
        <v>3273.6137847967848</v>
      </c>
      <c r="O71" s="129">
        <f t="shared" ref="O71:O72" si="12">$H71*M71</f>
        <v>3273.6137847967848</v>
      </c>
      <c r="P71" s="96">
        <v>3.18</v>
      </c>
      <c r="Q71" s="129">
        <f t="shared" ref="Q71:Q72" si="13">$G71*P71</f>
        <v>3273.6137847967848</v>
      </c>
      <c r="R71" s="129">
        <f t="shared" ref="R71:R72" si="14">$H71*P71</f>
        <v>3273.6137847967848</v>
      </c>
    </row>
    <row r="72" spans="2:18" ht="25.5" x14ac:dyDescent="0.25">
      <c r="B72" s="181">
        <v>36</v>
      </c>
      <c r="C72" s="135" t="s">
        <v>655</v>
      </c>
      <c r="D72" s="119" t="s">
        <v>20</v>
      </c>
      <c r="E72" s="115">
        <v>4810.382182628</v>
      </c>
      <c r="F72" s="142"/>
      <c r="G72" s="115">
        <f>((20*'Labour cost Escalation Factor'!I4)+(2*'Labour cost Escalation Factor'!I6))*1.15*1.2</f>
        <v>6961.0787999999993</v>
      </c>
      <c r="H72" s="115">
        <f>G72</f>
        <v>6961.0787999999993</v>
      </c>
      <c r="I72" s="166" t="s">
        <v>792</v>
      </c>
      <c r="J72" s="96">
        <v>3.18</v>
      </c>
      <c r="K72" s="129">
        <f t="shared" si="9"/>
        <v>22136.230583999997</v>
      </c>
      <c r="L72" s="129">
        <f t="shared" si="10"/>
        <v>22136.230583999997</v>
      </c>
      <c r="M72" s="96">
        <v>3.18</v>
      </c>
      <c r="N72" s="129">
        <f t="shared" si="11"/>
        <v>22136.230583999997</v>
      </c>
      <c r="O72" s="129">
        <f t="shared" si="12"/>
        <v>22136.230583999997</v>
      </c>
      <c r="P72" s="96">
        <v>3.18</v>
      </c>
      <c r="Q72" s="129">
        <f t="shared" si="13"/>
        <v>22136.230583999997</v>
      </c>
      <c r="R72" s="129">
        <f t="shared" si="14"/>
        <v>22136.230583999997</v>
      </c>
    </row>
    <row r="73" spans="2:18" x14ac:dyDescent="0.25">
      <c r="B73" s="398" t="s">
        <v>108</v>
      </c>
      <c r="C73" s="399"/>
      <c r="D73" s="399"/>
      <c r="E73" s="399"/>
      <c r="F73" s="399"/>
      <c r="G73" s="399"/>
      <c r="H73" s="400"/>
      <c r="I73" s="68"/>
      <c r="J73" s="120"/>
      <c r="K73" s="121">
        <f>SUM(K6:K72)</f>
        <v>183994.96337975835</v>
      </c>
      <c r="L73" s="121">
        <f>SUM(L6:L72)</f>
        <v>187561.5937938499</v>
      </c>
      <c r="M73" s="121"/>
      <c r="N73" s="121">
        <f>SUM(N6:N72)</f>
        <v>178130.591852182</v>
      </c>
      <c r="O73" s="121">
        <f>SUM(O6:O72)</f>
        <v>181697.22226627354</v>
      </c>
      <c r="P73" s="121"/>
      <c r="Q73" s="121">
        <f>SUM(Q6:Q72)</f>
        <v>163469.66303324106</v>
      </c>
      <c r="R73" s="121">
        <f>SUM(R6:R72)</f>
        <v>167036.2934473326</v>
      </c>
    </row>
    <row r="74" spans="2:18" x14ac:dyDescent="0.25">
      <c r="B74" s="186"/>
      <c r="C74" s="187"/>
      <c r="D74" s="188"/>
      <c r="E74" s="186"/>
      <c r="F74" s="189"/>
      <c r="G74" s="186"/>
      <c r="H74" s="186"/>
    </row>
    <row r="75" spans="2:18" x14ac:dyDescent="0.25">
      <c r="B75" s="186"/>
      <c r="C75" s="187"/>
      <c r="D75" s="188"/>
      <c r="E75" s="186"/>
      <c r="F75" s="189"/>
      <c r="G75" s="186"/>
      <c r="H75" s="186"/>
    </row>
    <row r="76" spans="2:18" x14ac:dyDescent="0.25">
      <c r="B76" s="186"/>
      <c r="C76" s="187"/>
      <c r="D76" s="188"/>
      <c r="E76" s="186"/>
      <c r="F76" s="189"/>
      <c r="G76" s="186"/>
      <c r="H76" s="186"/>
    </row>
    <row r="77" spans="2:18" x14ac:dyDescent="0.25">
      <c r="B77" s="186"/>
      <c r="C77" s="187"/>
      <c r="D77" s="188"/>
      <c r="E77" s="186"/>
      <c r="F77" s="189"/>
      <c r="G77" s="186"/>
      <c r="H77" s="186"/>
    </row>
    <row r="78" spans="2:18" x14ac:dyDescent="0.25">
      <c r="B78" s="186"/>
      <c r="C78" s="187"/>
      <c r="D78" s="188"/>
      <c r="E78" s="186"/>
      <c r="F78" s="189"/>
      <c r="G78" s="186"/>
      <c r="H78" s="186"/>
    </row>
    <row r="79" spans="2:18" x14ac:dyDescent="0.25">
      <c r="B79" s="186"/>
      <c r="C79" s="187"/>
      <c r="D79" s="188"/>
      <c r="E79" s="186"/>
      <c r="F79" s="189"/>
      <c r="G79" s="186"/>
      <c r="H79" s="186"/>
      <c r="K79" s="236"/>
      <c r="N79" s="236"/>
      <c r="Q79" s="236"/>
    </row>
    <row r="80" spans="2:18" x14ac:dyDescent="0.25">
      <c r="B80" s="186"/>
      <c r="C80" s="187"/>
      <c r="D80" s="188"/>
      <c r="E80" s="186"/>
      <c r="F80" s="189"/>
      <c r="G80" s="186"/>
      <c r="H80" s="186"/>
    </row>
    <row r="81" spans="2:8" x14ac:dyDescent="0.25">
      <c r="B81" s="186"/>
      <c r="C81" s="187"/>
      <c r="D81" s="188"/>
      <c r="E81" s="186"/>
      <c r="F81" s="189"/>
      <c r="G81" s="186"/>
      <c r="H81" s="186"/>
    </row>
    <row r="82" spans="2:8" x14ac:dyDescent="0.25">
      <c r="B82" s="186"/>
      <c r="C82" s="187"/>
      <c r="D82" s="188"/>
      <c r="E82" s="186"/>
      <c r="F82" s="189"/>
      <c r="G82" s="186"/>
      <c r="H82" s="186"/>
    </row>
    <row r="83" spans="2:8" x14ac:dyDescent="0.25">
      <c r="B83" s="186"/>
      <c r="C83" s="187"/>
      <c r="D83" s="188"/>
      <c r="E83" s="186"/>
      <c r="F83" s="189"/>
      <c r="G83" s="186"/>
      <c r="H83" s="186"/>
    </row>
    <row r="84" spans="2:8" x14ac:dyDescent="0.25">
      <c r="B84" s="186"/>
      <c r="C84" s="187"/>
      <c r="D84" s="188"/>
      <c r="E84" s="186"/>
      <c r="F84" s="189"/>
      <c r="G84" s="186"/>
      <c r="H84" s="186"/>
    </row>
    <row r="85" spans="2:8" x14ac:dyDescent="0.25">
      <c r="B85" s="186"/>
      <c r="C85" s="187"/>
      <c r="D85" s="188"/>
      <c r="E85" s="186"/>
      <c r="F85" s="189"/>
      <c r="G85" s="186"/>
      <c r="H85" s="186"/>
    </row>
    <row r="86" spans="2:8" x14ac:dyDescent="0.25">
      <c r="B86" s="186"/>
      <c r="C86" s="187"/>
      <c r="D86" s="188"/>
      <c r="E86" s="186"/>
      <c r="F86" s="189"/>
      <c r="G86" s="186"/>
      <c r="H86" s="186"/>
    </row>
    <row r="87" spans="2:8" x14ac:dyDescent="0.25">
      <c r="B87" s="186"/>
      <c r="C87" s="187"/>
      <c r="D87" s="188"/>
      <c r="E87" s="186"/>
      <c r="F87" s="189"/>
      <c r="G87" s="186"/>
      <c r="H87" s="186"/>
    </row>
    <row r="88" spans="2:8" x14ac:dyDescent="0.25">
      <c r="B88" s="186"/>
      <c r="C88" s="187"/>
      <c r="D88" s="188"/>
      <c r="E88" s="186"/>
      <c r="F88" s="189"/>
      <c r="G88" s="186"/>
      <c r="H88" s="186"/>
    </row>
    <row r="89" spans="2:8" x14ac:dyDescent="0.25">
      <c r="B89" s="186"/>
      <c r="C89" s="187"/>
      <c r="D89" s="188"/>
      <c r="E89" s="186"/>
      <c r="F89" s="189"/>
      <c r="G89" s="186"/>
      <c r="H89" s="186"/>
    </row>
    <row r="90" spans="2:8" x14ac:dyDescent="0.25">
      <c r="B90" s="186"/>
      <c r="C90" s="187"/>
      <c r="D90" s="188"/>
      <c r="E90" s="186"/>
      <c r="F90" s="189"/>
      <c r="G90" s="186"/>
      <c r="H90" s="186"/>
    </row>
    <row r="91" spans="2:8" x14ac:dyDescent="0.25">
      <c r="B91" s="186"/>
      <c r="C91" s="187"/>
      <c r="D91" s="188"/>
      <c r="E91" s="186"/>
      <c r="F91" s="189"/>
      <c r="G91" s="186"/>
      <c r="H91" s="186"/>
    </row>
    <row r="92" spans="2:8" x14ac:dyDescent="0.25">
      <c r="B92" s="186"/>
      <c r="C92" s="187"/>
      <c r="D92" s="188"/>
      <c r="E92" s="186"/>
      <c r="F92" s="189"/>
      <c r="G92" s="186"/>
      <c r="H92" s="186"/>
    </row>
    <row r="93" spans="2:8" x14ac:dyDescent="0.25">
      <c r="B93" s="186"/>
      <c r="C93" s="187"/>
      <c r="D93" s="188"/>
      <c r="E93" s="186"/>
      <c r="F93" s="189"/>
      <c r="G93" s="186"/>
      <c r="H93" s="186"/>
    </row>
    <row r="94" spans="2:8" x14ac:dyDescent="0.25">
      <c r="B94" s="186"/>
      <c r="C94" s="187"/>
      <c r="D94" s="188"/>
      <c r="E94" s="186"/>
      <c r="F94" s="189"/>
      <c r="G94" s="186"/>
      <c r="H94" s="186"/>
    </row>
    <row r="95" spans="2:8" x14ac:dyDescent="0.25">
      <c r="B95" s="186"/>
      <c r="C95" s="187"/>
      <c r="D95" s="188"/>
      <c r="E95" s="186"/>
      <c r="F95" s="189"/>
      <c r="G95" s="186"/>
      <c r="H95" s="186"/>
    </row>
    <row r="96" spans="2:8" x14ac:dyDescent="0.25">
      <c r="B96" s="186"/>
      <c r="C96" s="187"/>
      <c r="D96" s="188"/>
      <c r="E96" s="186"/>
      <c r="F96" s="189"/>
      <c r="G96" s="186"/>
      <c r="H96" s="186"/>
    </row>
    <row r="97" spans="2:8" x14ac:dyDescent="0.25">
      <c r="B97" s="186"/>
      <c r="C97" s="187"/>
      <c r="D97" s="188"/>
      <c r="E97" s="186"/>
      <c r="F97" s="189"/>
      <c r="G97" s="186"/>
      <c r="H97" s="186"/>
    </row>
    <row r="98" spans="2:8" x14ac:dyDescent="0.25">
      <c r="B98" s="186"/>
      <c r="C98" s="187"/>
      <c r="D98" s="188"/>
      <c r="E98" s="186"/>
      <c r="F98" s="189"/>
      <c r="G98" s="186"/>
      <c r="H98" s="186"/>
    </row>
    <row r="99" spans="2:8" x14ac:dyDescent="0.25">
      <c r="B99" s="186"/>
      <c r="C99" s="187"/>
      <c r="D99" s="188"/>
      <c r="E99" s="186"/>
      <c r="F99" s="189"/>
      <c r="G99" s="186"/>
      <c r="H99" s="186"/>
    </row>
    <row r="100" spans="2:8" x14ac:dyDescent="0.25">
      <c r="B100" s="186"/>
      <c r="C100" s="187"/>
      <c r="D100" s="188"/>
      <c r="E100" s="186"/>
      <c r="F100" s="189"/>
      <c r="G100" s="186"/>
      <c r="H100" s="186"/>
    </row>
    <row r="101" spans="2:8" x14ac:dyDescent="0.25">
      <c r="B101" s="186"/>
      <c r="C101" s="187"/>
      <c r="D101" s="188"/>
      <c r="E101" s="186"/>
      <c r="F101" s="189"/>
      <c r="G101" s="186"/>
      <c r="H101" s="186"/>
    </row>
    <row r="102" spans="2:8" x14ac:dyDescent="0.25">
      <c r="B102" s="186"/>
      <c r="C102" s="187"/>
      <c r="D102" s="188"/>
      <c r="E102" s="186"/>
      <c r="F102" s="189"/>
      <c r="G102" s="186"/>
      <c r="H102" s="186"/>
    </row>
    <row r="103" spans="2:8" x14ac:dyDescent="0.25">
      <c r="B103" s="186"/>
      <c r="C103" s="187"/>
      <c r="D103" s="188"/>
      <c r="E103" s="186"/>
      <c r="F103" s="189"/>
      <c r="G103" s="186"/>
      <c r="H103" s="186"/>
    </row>
    <row r="104" spans="2:8" x14ac:dyDescent="0.25">
      <c r="B104" s="186"/>
      <c r="C104" s="187"/>
      <c r="D104" s="188"/>
      <c r="E104" s="186"/>
      <c r="F104" s="189"/>
      <c r="G104" s="186"/>
      <c r="H104" s="186"/>
    </row>
    <row r="105" spans="2:8" x14ac:dyDescent="0.25">
      <c r="B105" s="186"/>
      <c r="C105" s="187"/>
      <c r="D105" s="188"/>
      <c r="E105" s="186"/>
      <c r="F105" s="189"/>
      <c r="G105" s="186"/>
      <c r="H105" s="186"/>
    </row>
    <row r="106" spans="2:8" x14ac:dyDescent="0.25">
      <c r="B106" s="186"/>
      <c r="C106" s="187"/>
      <c r="D106" s="188"/>
      <c r="E106" s="186"/>
      <c r="F106" s="189"/>
      <c r="G106" s="186"/>
      <c r="H106" s="186"/>
    </row>
    <row r="107" spans="2:8" x14ac:dyDescent="0.25">
      <c r="B107" s="186"/>
      <c r="C107" s="187"/>
      <c r="D107" s="188"/>
      <c r="E107" s="186"/>
      <c r="F107" s="189"/>
      <c r="G107" s="186"/>
      <c r="H107" s="186"/>
    </row>
    <row r="108" spans="2:8" x14ac:dyDescent="0.25">
      <c r="B108" s="186"/>
      <c r="C108" s="187"/>
      <c r="D108" s="188"/>
      <c r="E108" s="186"/>
      <c r="F108" s="189"/>
      <c r="G108" s="186"/>
      <c r="H108" s="186"/>
    </row>
    <row r="109" spans="2:8" x14ac:dyDescent="0.25">
      <c r="B109" s="186"/>
      <c r="C109" s="187"/>
      <c r="D109" s="188"/>
      <c r="E109" s="186"/>
      <c r="F109" s="189"/>
      <c r="G109" s="186"/>
      <c r="H109" s="186"/>
    </row>
    <row r="110" spans="2:8" x14ac:dyDescent="0.25">
      <c r="B110" s="186"/>
      <c r="C110" s="187"/>
      <c r="D110" s="188"/>
      <c r="E110" s="186"/>
      <c r="F110" s="189"/>
      <c r="G110" s="186"/>
      <c r="H110" s="186"/>
    </row>
    <row r="111" spans="2:8" x14ac:dyDescent="0.25">
      <c r="B111" s="186"/>
      <c r="C111" s="187"/>
      <c r="D111" s="188"/>
      <c r="E111" s="186"/>
      <c r="F111" s="189"/>
      <c r="G111" s="186"/>
      <c r="H111" s="186"/>
    </row>
    <row r="112" spans="2:8" x14ac:dyDescent="0.25">
      <c r="B112" s="186"/>
      <c r="C112" s="187"/>
      <c r="D112" s="188"/>
      <c r="E112" s="186"/>
      <c r="F112" s="189"/>
      <c r="G112" s="186"/>
      <c r="H112" s="186"/>
    </row>
    <row r="113" spans="2:8" x14ac:dyDescent="0.25">
      <c r="B113" s="186"/>
      <c r="C113" s="187"/>
      <c r="D113" s="188"/>
      <c r="E113" s="186"/>
      <c r="F113" s="189"/>
      <c r="G113" s="186"/>
      <c r="H113" s="186"/>
    </row>
    <row r="114" spans="2:8" x14ac:dyDescent="0.25">
      <c r="B114" s="186"/>
      <c r="C114" s="187"/>
      <c r="D114" s="188"/>
      <c r="E114" s="186"/>
      <c r="F114" s="189"/>
      <c r="G114" s="186"/>
      <c r="H114" s="186"/>
    </row>
    <row r="115" spans="2:8" x14ac:dyDescent="0.25">
      <c r="B115" s="186"/>
      <c r="C115" s="187"/>
      <c r="D115" s="188"/>
      <c r="E115" s="186"/>
      <c r="F115" s="189"/>
      <c r="G115" s="186"/>
      <c r="H115" s="186"/>
    </row>
    <row r="116" spans="2:8" x14ac:dyDescent="0.25">
      <c r="B116" s="186"/>
      <c r="C116" s="187"/>
      <c r="D116" s="188"/>
      <c r="E116" s="186"/>
      <c r="F116" s="189"/>
      <c r="G116" s="186"/>
      <c r="H116" s="186"/>
    </row>
    <row r="117" spans="2:8" x14ac:dyDescent="0.25">
      <c r="B117" s="186"/>
      <c r="C117" s="187"/>
      <c r="D117" s="188"/>
      <c r="E117" s="186"/>
      <c r="F117" s="189"/>
      <c r="G117" s="186"/>
      <c r="H117" s="186"/>
    </row>
    <row r="118" spans="2:8" x14ac:dyDescent="0.25">
      <c r="B118" s="186"/>
      <c r="C118" s="187"/>
      <c r="D118" s="188"/>
      <c r="E118" s="186"/>
      <c r="F118" s="189"/>
      <c r="G118" s="186"/>
      <c r="H118" s="186"/>
    </row>
    <row r="119" spans="2:8" x14ac:dyDescent="0.25">
      <c r="B119" s="186"/>
      <c r="C119" s="187"/>
      <c r="D119" s="188"/>
      <c r="E119" s="186"/>
      <c r="F119" s="189"/>
      <c r="G119" s="186"/>
      <c r="H119" s="186"/>
    </row>
    <row r="120" spans="2:8" x14ac:dyDescent="0.25">
      <c r="B120" s="186"/>
      <c r="C120" s="187"/>
      <c r="D120" s="188"/>
      <c r="E120" s="186"/>
      <c r="F120" s="189"/>
      <c r="G120" s="186"/>
      <c r="H120" s="186"/>
    </row>
    <row r="121" spans="2:8" x14ac:dyDescent="0.25">
      <c r="B121" s="186"/>
      <c r="C121" s="187"/>
      <c r="D121" s="188"/>
      <c r="E121" s="186"/>
      <c r="F121" s="189"/>
      <c r="G121" s="186"/>
      <c r="H121" s="186"/>
    </row>
    <row r="122" spans="2:8" x14ac:dyDescent="0.25">
      <c r="B122" s="186"/>
      <c r="C122" s="187"/>
      <c r="D122" s="188"/>
      <c r="E122" s="186"/>
      <c r="F122" s="189"/>
      <c r="G122" s="186"/>
      <c r="H122" s="186"/>
    </row>
    <row r="123" spans="2:8" x14ac:dyDescent="0.25">
      <c r="B123" s="186"/>
      <c r="C123" s="187"/>
      <c r="D123" s="188"/>
      <c r="E123" s="186"/>
      <c r="F123" s="189"/>
      <c r="G123" s="186"/>
      <c r="H123" s="186"/>
    </row>
    <row r="124" spans="2:8" x14ac:dyDescent="0.25">
      <c r="B124" s="186"/>
      <c r="C124" s="187"/>
      <c r="D124" s="188"/>
      <c r="E124" s="186"/>
      <c r="F124" s="189"/>
      <c r="G124" s="186"/>
      <c r="H124" s="186"/>
    </row>
    <row r="125" spans="2:8" x14ac:dyDescent="0.25">
      <c r="B125" s="186"/>
      <c r="C125" s="187"/>
      <c r="D125" s="188"/>
      <c r="E125" s="186"/>
      <c r="F125" s="189"/>
      <c r="G125" s="186"/>
      <c r="H125" s="186"/>
    </row>
    <row r="126" spans="2:8" x14ac:dyDescent="0.25">
      <c r="B126" s="186"/>
      <c r="C126" s="187"/>
      <c r="D126" s="188"/>
      <c r="E126" s="186"/>
      <c r="F126" s="189"/>
      <c r="G126" s="186"/>
      <c r="H126" s="186"/>
    </row>
    <row r="127" spans="2:8" x14ac:dyDescent="0.25">
      <c r="B127" s="186"/>
      <c r="C127" s="187"/>
      <c r="D127" s="188"/>
      <c r="E127" s="186"/>
      <c r="F127" s="189"/>
      <c r="G127" s="186"/>
      <c r="H127" s="186"/>
    </row>
    <row r="128" spans="2:8" x14ac:dyDescent="0.25">
      <c r="B128" s="186"/>
      <c r="C128" s="187"/>
      <c r="D128" s="188"/>
      <c r="E128" s="186"/>
      <c r="F128" s="189"/>
      <c r="G128" s="186"/>
      <c r="H128" s="186"/>
    </row>
    <row r="129" spans="2:8" x14ac:dyDescent="0.25">
      <c r="B129" s="186"/>
      <c r="C129" s="187"/>
      <c r="D129" s="188"/>
      <c r="E129" s="186"/>
      <c r="F129" s="189"/>
      <c r="G129" s="186"/>
      <c r="H129" s="186"/>
    </row>
    <row r="130" spans="2:8" x14ac:dyDescent="0.25">
      <c r="B130" s="186"/>
      <c r="C130" s="187"/>
      <c r="D130" s="188"/>
      <c r="E130" s="186"/>
      <c r="F130" s="189"/>
      <c r="G130" s="186"/>
      <c r="H130" s="186"/>
    </row>
    <row r="131" spans="2:8" x14ac:dyDescent="0.25">
      <c r="B131" s="186"/>
      <c r="C131" s="187"/>
      <c r="D131" s="188"/>
      <c r="E131" s="186"/>
      <c r="F131" s="189"/>
      <c r="G131" s="186"/>
      <c r="H131" s="186"/>
    </row>
    <row r="132" spans="2:8" x14ac:dyDescent="0.25">
      <c r="B132" s="186"/>
      <c r="C132" s="187"/>
      <c r="D132" s="188"/>
      <c r="E132" s="186"/>
      <c r="F132" s="189"/>
      <c r="G132" s="186"/>
      <c r="H132" s="186"/>
    </row>
    <row r="133" spans="2:8" x14ac:dyDescent="0.25">
      <c r="B133" s="186"/>
      <c r="C133" s="187"/>
      <c r="D133" s="188"/>
      <c r="E133" s="186"/>
      <c r="F133" s="189"/>
      <c r="G133" s="186"/>
      <c r="H133" s="186"/>
    </row>
    <row r="134" spans="2:8" x14ac:dyDescent="0.25">
      <c r="B134" s="186"/>
      <c r="C134" s="187"/>
      <c r="D134" s="188"/>
      <c r="E134" s="186"/>
      <c r="F134" s="189"/>
      <c r="G134" s="186"/>
      <c r="H134" s="186"/>
    </row>
    <row r="135" spans="2:8" x14ac:dyDescent="0.25">
      <c r="B135" s="186"/>
      <c r="C135" s="187"/>
      <c r="D135" s="188"/>
      <c r="E135" s="186"/>
      <c r="F135" s="189"/>
      <c r="G135" s="186"/>
      <c r="H135" s="186"/>
    </row>
    <row r="136" spans="2:8" x14ac:dyDescent="0.25">
      <c r="B136" s="186"/>
      <c r="C136" s="187"/>
      <c r="D136" s="188"/>
      <c r="E136" s="186"/>
      <c r="F136" s="189"/>
      <c r="G136" s="186"/>
      <c r="H136" s="186"/>
    </row>
    <row r="137" spans="2:8" x14ac:dyDescent="0.25">
      <c r="B137" s="186"/>
      <c r="C137" s="187"/>
      <c r="D137" s="188"/>
      <c r="E137" s="186"/>
      <c r="F137" s="189"/>
      <c r="G137" s="186"/>
      <c r="H137" s="186"/>
    </row>
    <row r="138" spans="2:8" x14ac:dyDescent="0.25">
      <c r="B138" s="186"/>
      <c r="C138" s="187"/>
      <c r="D138" s="188"/>
      <c r="E138" s="186"/>
      <c r="F138" s="189"/>
      <c r="G138" s="186"/>
      <c r="H138" s="186"/>
    </row>
    <row r="139" spans="2:8" x14ac:dyDescent="0.25">
      <c r="B139" s="186"/>
      <c r="C139" s="187"/>
      <c r="D139" s="188"/>
      <c r="E139" s="186"/>
      <c r="F139" s="189"/>
      <c r="G139" s="186"/>
      <c r="H139" s="186"/>
    </row>
    <row r="140" spans="2:8" x14ac:dyDescent="0.25">
      <c r="B140" s="186"/>
      <c r="C140" s="187"/>
      <c r="D140" s="188"/>
      <c r="E140" s="186"/>
      <c r="F140" s="189"/>
      <c r="G140" s="186"/>
      <c r="H140" s="186"/>
    </row>
    <row r="141" spans="2:8" x14ac:dyDescent="0.25">
      <c r="B141" s="186"/>
      <c r="C141" s="187"/>
      <c r="D141" s="188"/>
      <c r="E141" s="186"/>
      <c r="F141" s="189"/>
      <c r="G141" s="186"/>
      <c r="H141" s="186"/>
    </row>
    <row r="142" spans="2:8" x14ac:dyDescent="0.25">
      <c r="B142" s="186"/>
      <c r="C142" s="187"/>
      <c r="D142" s="188"/>
      <c r="E142" s="186"/>
      <c r="F142" s="189"/>
      <c r="G142" s="186"/>
      <c r="H142" s="186"/>
    </row>
    <row r="143" spans="2:8" x14ac:dyDescent="0.25">
      <c r="B143" s="186"/>
      <c r="C143" s="187"/>
      <c r="D143" s="188"/>
      <c r="E143" s="186"/>
      <c r="F143" s="189"/>
      <c r="G143" s="186"/>
      <c r="H143" s="186"/>
    </row>
    <row r="144" spans="2:8" x14ac:dyDescent="0.25">
      <c r="B144" s="186"/>
      <c r="C144" s="187"/>
      <c r="D144" s="188"/>
      <c r="E144" s="186"/>
      <c r="F144" s="189"/>
      <c r="G144" s="186"/>
      <c r="H144" s="186"/>
    </row>
    <row r="145" spans="2:8" x14ac:dyDescent="0.25">
      <c r="B145" s="186"/>
      <c r="C145" s="187"/>
      <c r="D145" s="188"/>
      <c r="E145" s="186"/>
      <c r="F145" s="189"/>
      <c r="G145" s="186"/>
      <c r="H145" s="186"/>
    </row>
    <row r="146" spans="2:8" x14ac:dyDescent="0.25">
      <c r="B146" s="186"/>
      <c r="C146" s="187"/>
      <c r="D146" s="188"/>
      <c r="E146" s="186"/>
      <c r="F146" s="189"/>
      <c r="G146" s="186"/>
      <c r="H146" s="186"/>
    </row>
    <row r="147" spans="2:8" x14ac:dyDescent="0.25">
      <c r="B147" s="186"/>
      <c r="C147" s="187"/>
      <c r="D147" s="188"/>
      <c r="E147" s="186"/>
      <c r="F147" s="189"/>
      <c r="G147" s="186"/>
      <c r="H147" s="186"/>
    </row>
    <row r="148" spans="2:8" x14ac:dyDescent="0.25">
      <c r="B148" s="186"/>
      <c r="C148" s="187"/>
      <c r="D148" s="188"/>
      <c r="E148" s="186"/>
      <c r="F148" s="189"/>
      <c r="G148" s="186"/>
      <c r="H148" s="186"/>
    </row>
    <row r="149" spans="2:8" x14ac:dyDescent="0.25">
      <c r="B149" s="186"/>
      <c r="C149" s="187"/>
      <c r="D149" s="188"/>
      <c r="E149" s="186"/>
      <c r="F149" s="189"/>
      <c r="G149" s="186"/>
      <c r="H149" s="186"/>
    </row>
    <row r="150" spans="2:8" x14ac:dyDescent="0.25">
      <c r="B150" s="186"/>
      <c r="C150" s="187"/>
      <c r="D150" s="188"/>
      <c r="E150" s="186"/>
      <c r="F150" s="189"/>
      <c r="G150" s="186"/>
      <c r="H150" s="186"/>
    </row>
    <row r="151" spans="2:8" x14ac:dyDescent="0.25">
      <c r="B151" s="186"/>
      <c r="C151" s="187"/>
      <c r="D151" s="188"/>
      <c r="E151" s="186"/>
      <c r="F151" s="189"/>
      <c r="G151" s="186"/>
      <c r="H151" s="186"/>
    </row>
    <row r="152" spans="2:8" x14ac:dyDescent="0.25">
      <c r="B152" s="186"/>
      <c r="C152" s="187"/>
      <c r="D152" s="188"/>
      <c r="E152" s="186"/>
      <c r="F152" s="189"/>
      <c r="G152" s="186"/>
      <c r="H152" s="186"/>
    </row>
    <row r="153" spans="2:8" x14ac:dyDescent="0.25">
      <c r="B153" s="186"/>
      <c r="C153" s="187"/>
      <c r="D153" s="188"/>
      <c r="E153" s="186"/>
      <c r="F153" s="189"/>
      <c r="G153" s="186"/>
      <c r="H153" s="186"/>
    </row>
  </sheetData>
  <mergeCells count="31">
    <mergeCell ref="I55:I56"/>
    <mergeCell ref="I57:I58"/>
    <mergeCell ref="B73:H73"/>
    <mergeCell ref="B2:D2"/>
    <mergeCell ref="B39:B43"/>
    <mergeCell ref="B57:B58"/>
    <mergeCell ref="B55:B56"/>
    <mergeCell ref="B44:B45"/>
    <mergeCell ref="B50:B54"/>
    <mergeCell ref="B46:B49"/>
    <mergeCell ref="C26:C27"/>
    <mergeCell ref="I26:I27"/>
    <mergeCell ref="I9:I10"/>
    <mergeCell ref="I13:I15"/>
    <mergeCell ref="I48:I49"/>
    <mergeCell ref="B8:B12"/>
    <mergeCell ref="B13:B17"/>
    <mergeCell ref="B28:B32"/>
    <mergeCell ref="B19:B21"/>
    <mergeCell ref="B23:B25"/>
    <mergeCell ref="B26:B27"/>
    <mergeCell ref="P3:R3"/>
    <mergeCell ref="B3:B4"/>
    <mergeCell ref="C3:C4"/>
    <mergeCell ref="D3:D4"/>
    <mergeCell ref="E3:E4"/>
    <mergeCell ref="F3:F4"/>
    <mergeCell ref="G3:H3"/>
    <mergeCell ref="I3:I4"/>
    <mergeCell ref="J3:L3"/>
    <mergeCell ref="M3:O3"/>
  </mergeCells>
  <printOptions horizontalCentered="1"/>
  <pageMargins left="0.55000000000000004" right="0.6" top="0.94" bottom="0.62" header="0.3" footer="0.3"/>
  <pageSetup paperSize="9" scale="80" orientation="landscape" r:id="rId1"/>
  <headerFooter>
    <oddHeader>&amp;L&amp;G&amp;C&amp;"-,Bold"&amp;20JBVNL Cost Data Book&amp;"-,Regular"&amp;11
&amp;"-,Bold Italic"&amp;14 11KV Line Labour Cost Analysis&amp;R
&amp;G</oddHeader>
    <oddFooter>&amp;L&amp;"-,Bold"&amp;14 2016-17&amp;RPage &amp;P of &amp;N</oddFooter>
  </headerFooter>
  <colBreaks count="1" manualBreakCount="1">
    <brk id="9" min="1" max="61"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Q77"/>
  <sheetViews>
    <sheetView zoomScaleNormal="100" zoomScaleSheetLayoutView="70" workbookViewId="0">
      <pane xSplit="4" ySplit="5" topLeftCell="E6" activePane="bottomRight" state="frozen"/>
      <selection pane="topRight" activeCell="E1" sqref="E1"/>
      <selection pane="bottomLeft" activeCell="A5" sqref="A5"/>
      <selection pane="bottomRight" activeCell="E6" sqref="E6"/>
    </sheetView>
  </sheetViews>
  <sheetFormatPr defaultRowHeight="15" x14ac:dyDescent="0.25"/>
  <cols>
    <col min="1" max="1" width="4.28515625" style="7" customWidth="1"/>
    <col min="2" max="2" width="6.5703125" style="28" customWidth="1"/>
    <col min="3" max="3" width="65.28515625" style="144" customWidth="1"/>
    <col min="4" max="4" width="13.5703125" style="28" bestFit="1" customWidth="1"/>
    <col min="5" max="5" width="11.28515625" style="29" customWidth="1"/>
    <col min="6" max="6" width="28.42578125" style="30" customWidth="1"/>
    <col min="7" max="7" width="12.42578125" style="28" customWidth="1"/>
    <col min="8" max="8" width="12.140625" style="7" customWidth="1"/>
    <col min="9" max="9" width="38.42578125" style="168" customWidth="1"/>
    <col min="10" max="10" width="9" style="28" bestFit="1" customWidth="1"/>
    <col min="11" max="12" width="13.28515625" style="7" bestFit="1" customWidth="1"/>
    <col min="13" max="13" width="9" style="7" bestFit="1" customWidth="1"/>
    <col min="14" max="15" width="13.28515625" style="7" bestFit="1" customWidth="1"/>
    <col min="16" max="16384" width="9.140625" style="7"/>
  </cols>
  <sheetData>
    <row r="1" spans="1:15" x14ac:dyDescent="0.25">
      <c r="C1"/>
      <c r="D1"/>
      <c r="E1"/>
      <c r="F1"/>
      <c r="H1" s="7">
        <v>1.5</v>
      </c>
    </row>
    <row r="2" spans="1:15" ht="39.75" hidden="1" customHeight="1" x14ac:dyDescent="0.25">
      <c r="B2" s="368" t="s">
        <v>512</v>
      </c>
      <c r="C2" s="368"/>
      <c r="D2" s="368"/>
      <c r="E2" s="90"/>
      <c r="F2" s="90"/>
      <c r="G2" s="147"/>
      <c r="H2" s="90"/>
      <c r="I2" s="167"/>
    </row>
    <row r="3" spans="1:15" s="8" customFormat="1" ht="60" customHeight="1" x14ac:dyDescent="0.25">
      <c r="B3" s="375" t="s">
        <v>1</v>
      </c>
      <c r="C3" s="377" t="s">
        <v>2</v>
      </c>
      <c r="D3" s="375" t="s">
        <v>0</v>
      </c>
      <c r="E3" s="379" t="s">
        <v>211</v>
      </c>
      <c r="F3" s="379" t="s">
        <v>72</v>
      </c>
      <c r="G3" s="367" t="s">
        <v>210</v>
      </c>
      <c r="H3" s="367"/>
      <c r="I3" s="381" t="s">
        <v>349</v>
      </c>
      <c r="J3" s="405" t="s">
        <v>694</v>
      </c>
      <c r="K3" s="405"/>
      <c r="L3" s="405"/>
      <c r="M3" s="405" t="s">
        <v>696</v>
      </c>
      <c r="N3" s="405"/>
      <c r="O3" s="405"/>
    </row>
    <row r="4" spans="1:15" s="8" customFormat="1" ht="25.5" x14ac:dyDescent="0.25">
      <c r="B4" s="376"/>
      <c r="C4" s="378"/>
      <c r="D4" s="376"/>
      <c r="E4" s="380"/>
      <c r="F4" s="380"/>
      <c r="G4" s="74" t="s">
        <v>144</v>
      </c>
      <c r="H4" s="74" t="s">
        <v>145</v>
      </c>
      <c r="I4" s="382"/>
      <c r="J4" s="74" t="s">
        <v>107</v>
      </c>
      <c r="K4" s="74" t="s">
        <v>507</v>
      </c>
      <c r="L4" s="74" t="s">
        <v>508</v>
      </c>
      <c r="M4" s="74" t="s">
        <v>107</v>
      </c>
      <c r="N4" s="74" t="s">
        <v>507</v>
      </c>
      <c r="O4" s="74" t="s">
        <v>508</v>
      </c>
    </row>
    <row r="5" spans="1:15" x14ac:dyDescent="0.25">
      <c r="B5" s="18" t="s">
        <v>74</v>
      </c>
      <c r="C5" s="132" t="s">
        <v>75</v>
      </c>
      <c r="D5" s="78" t="s">
        <v>76</v>
      </c>
      <c r="E5" s="78" t="s">
        <v>77</v>
      </c>
      <c r="F5" s="78" t="s">
        <v>78</v>
      </c>
      <c r="G5" s="149" t="s">
        <v>664</v>
      </c>
      <c r="H5" s="149" t="s">
        <v>665</v>
      </c>
      <c r="I5" s="91" t="s">
        <v>93</v>
      </c>
      <c r="J5" s="78" t="s">
        <v>94</v>
      </c>
      <c r="K5" s="78" t="s">
        <v>95</v>
      </c>
      <c r="L5" s="78" t="s">
        <v>96</v>
      </c>
      <c r="M5" s="78" t="s">
        <v>97</v>
      </c>
      <c r="N5" s="78" t="s">
        <v>98</v>
      </c>
      <c r="O5" s="78" t="s">
        <v>99</v>
      </c>
    </row>
    <row r="6" spans="1:15" ht="51" x14ac:dyDescent="0.25">
      <c r="B6" s="181">
        <v>1</v>
      </c>
      <c r="C6" s="135" t="s">
        <v>705</v>
      </c>
      <c r="D6" s="119" t="s">
        <v>666</v>
      </c>
      <c r="E6" s="190">
        <v>16623.043165662999</v>
      </c>
      <c r="F6" s="142">
        <f>'Labour cost Escalation Factor'!$J$10</f>
        <v>0.27984207704983549</v>
      </c>
      <c r="G6" s="176">
        <f t="shared" ref="G6:G15" si="0">E6*(1+F6)</f>
        <v>21274.870092031208</v>
      </c>
      <c r="H6" s="176">
        <f>G6*$H$1</f>
        <v>31912.30513804681</v>
      </c>
      <c r="I6" s="166" t="s">
        <v>763</v>
      </c>
      <c r="J6" s="96">
        <v>2</v>
      </c>
      <c r="K6" s="96">
        <f>$G6*J6</f>
        <v>42549.740184062415</v>
      </c>
      <c r="L6" s="96">
        <f>$H6*J6</f>
        <v>63824.610276093619</v>
      </c>
      <c r="M6" s="96">
        <v>2</v>
      </c>
      <c r="N6" s="96">
        <f t="shared" ref="N6:N57" si="1">$G6*M6</f>
        <v>42549.740184062415</v>
      </c>
      <c r="O6" s="96">
        <f t="shared" ref="O6:O57" si="2">$H6*M6</f>
        <v>63824.610276093619</v>
      </c>
    </row>
    <row r="7" spans="1:15" ht="38.25" x14ac:dyDescent="0.25">
      <c r="A7"/>
      <c r="B7" s="181">
        <v>2</v>
      </c>
      <c r="C7" s="135" t="s">
        <v>706</v>
      </c>
      <c r="D7" s="119" t="s">
        <v>666</v>
      </c>
      <c r="E7" s="190">
        <v>6177.3442617369992</v>
      </c>
      <c r="F7" s="142">
        <f>'Labour cost Escalation Factor'!$J$10</f>
        <v>0.27984207704983549</v>
      </c>
      <c r="G7" s="176">
        <f t="shared" si="0"/>
        <v>7906.0251105933639</v>
      </c>
      <c r="H7" s="115">
        <f>G7</f>
        <v>7906.0251105933639</v>
      </c>
      <c r="I7" s="166" t="s">
        <v>763</v>
      </c>
      <c r="J7" s="96">
        <v>10</v>
      </c>
      <c r="K7" s="96">
        <f t="shared" ref="K7:K57" si="3">$G7*J7</f>
        <v>79060.251105933639</v>
      </c>
      <c r="L7" s="96">
        <f t="shared" ref="L7:L57" si="4">$H7*J7</f>
        <v>79060.251105933639</v>
      </c>
      <c r="M7" s="96">
        <v>10</v>
      </c>
      <c r="N7" s="96">
        <f t="shared" si="1"/>
        <v>79060.251105933639</v>
      </c>
      <c r="O7" s="96">
        <f t="shared" si="2"/>
        <v>79060.251105933639</v>
      </c>
    </row>
    <row r="8" spans="1:15" ht="38.25" x14ac:dyDescent="0.25">
      <c r="B8" s="181">
        <v>3</v>
      </c>
      <c r="C8" s="135" t="s">
        <v>707</v>
      </c>
      <c r="D8" s="119" t="s">
        <v>703</v>
      </c>
      <c r="E8" s="190">
        <v>14936.604656963</v>
      </c>
      <c r="F8" s="142">
        <f>'Labour cost Escalation Factor'!$J$10</f>
        <v>0.27984207704983549</v>
      </c>
      <c r="G8" s="176">
        <f t="shared" si="0"/>
        <v>19116.495128239771</v>
      </c>
      <c r="H8" s="176">
        <f t="shared" ref="H8:H13" si="5">G8*$H$1</f>
        <v>28674.742692359658</v>
      </c>
      <c r="I8" s="166" t="s">
        <v>763</v>
      </c>
      <c r="J8" s="96">
        <v>4</v>
      </c>
      <c r="K8" s="96">
        <f t="shared" si="3"/>
        <v>76465.980512959082</v>
      </c>
      <c r="L8" s="96">
        <f t="shared" si="4"/>
        <v>114698.97076943863</v>
      </c>
      <c r="M8" s="96">
        <v>3</v>
      </c>
      <c r="N8" s="96">
        <f t="shared" si="1"/>
        <v>57349.485384719315</v>
      </c>
      <c r="O8" s="96">
        <f t="shared" si="2"/>
        <v>86024.228077078966</v>
      </c>
    </row>
    <row r="9" spans="1:15" ht="38.25" x14ac:dyDescent="0.25">
      <c r="A9"/>
      <c r="B9" s="181">
        <v>4</v>
      </c>
      <c r="C9" s="135" t="s">
        <v>708</v>
      </c>
      <c r="D9" s="119" t="s">
        <v>666</v>
      </c>
      <c r="E9" s="190">
        <v>6863.7067765749998</v>
      </c>
      <c r="F9" s="142">
        <f>'Labour cost Escalation Factor'!$J$10</f>
        <v>0.27984207704983549</v>
      </c>
      <c r="G9" s="176">
        <f t="shared" si="0"/>
        <v>8784.4607371927796</v>
      </c>
      <c r="H9" s="115">
        <f>G9</f>
        <v>8784.4607371927796</v>
      </c>
      <c r="I9" s="166" t="s">
        <v>763</v>
      </c>
      <c r="J9" s="96">
        <v>2</v>
      </c>
      <c r="K9" s="96">
        <f t="shared" si="3"/>
        <v>17568.921474385559</v>
      </c>
      <c r="L9" s="96">
        <f t="shared" si="4"/>
        <v>17568.921474385559</v>
      </c>
      <c r="M9" s="96">
        <v>1</v>
      </c>
      <c r="N9" s="96">
        <f t="shared" si="1"/>
        <v>8784.4607371927796</v>
      </c>
      <c r="O9" s="96">
        <f t="shared" si="2"/>
        <v>8784.4607371927796</v>
      </c>
    </row>
    <row r="10" spans="1:15" ht="38.25" x14ac:dyDescent="0.25">
      <c r="B10" s="181">
        <v>5</v>
      </c>
      <c r="C10" s="135" t="s">
        <v>709</v>
      </c>
      <c r="D10" s="119" t="s">
        <v>666</v>
      </c>
      <c r="E10" s="190">
        <v>10295.568327682</v>
      </c>
      <c r="F10" s="142">
        <f>'Labour cost Escalation Factor'!$J$10</f>
        <v>0.27984207704983549</v>
      </c>
      <c r="G10" s="176">
        <f t="shared" si="0"/>
        <v>13176.701552909033</v>
      </c>
      <c r="H10" s="176">
        <f t="shared" si="5"/>
        <v>19765.052329363549</v>
      </c>
      <c r="I10" s="166" t="s">
        <v>763</v>
      </c>
      <c r="J10" s="96">
        <v>4</v>
      </c>
      <c r="K10" s="96">
        <f t="shared" si="3"/>
        <v>52706.806211636133</v>
      </c>
      <c r="L10" s="96">
        <f t="shared" si="4"/>
        <v>79060.209317454195</v>
      </c>
      <c r="M10" s="96">
        <v>4</v>
      </c>
      <c r="N10" s="96">
        <f t="shared" si="1"/>
        <v>52706.806211636133</v>
      </c>
      <c r="O10" s="96">
        <f t="shared" si="2"/>
        <v>79060.209317454195</v>
      </c>
    </row>
    <row r="11" spans="1:15" ht="38.25" x14ac:dyDescent="0.25">
      <c r="B11" s="181">
        <v>6</v>
      </c>
      <c r="C11" s="135" t="s">
        <v>710</v>
      </c>
      <c r="D11" s="119" t="s">
        <v>666</v>
      </c>
      <c r="E11" s="190">
        <v>1311.0794168120001</v>
      </c>
      <c r="F11" s="142">
        <f>'Labour cost Escalation Factor'!$J$10</f>
        <v>0.27984207704983549</v>
      </c>
      <c r="G11" s="176">
        <f t="shared" si="0"/>
        <v>1677.9746039899574</v>
      </c>
      <c r="H11" s="176">
        <f>G11*$H$1</f>
        <v>2516.961905984936</v>
      </c>
      <c r="I11" s="166" t="s">
        <v>763</v>
      </c>
      <c r="J11" s="96">
        <v>2</v>
      </c>
      <c r="K11" s="96">
        <f t="shared" si="3"/>
        <v>3355.9492079799147</v>
      </c>
      <c r="L11" s="96">
        <f t="shared" si="4"/>
        <v>5033.9238119698721</v>
      </c>
      <c r="M11" s="96">
        <v>2</v>
      </c>
      <c r="N11" s="96">
        <f t="shared" si="1"/>
        <v>3355.9492079799147</v>
      </c>
      <c r="O11" s="96">
        <f t="shared" si="2"/>
        <v>5033.9238119698721</v>
      </c>
    </row>
    <row r="12" spans="1:15" ht="38.25" x14ac:dyDescent="0.25">
      <c r="A12"/>
      <c r="B12" s="181">
        <v>7</v>
      </c>
      <c r="C12" s="135" t="s">
        <v>711</v>
      </c>
      <c r="D12" s="119" t="s">
        <v>703</v>
      </c>
      <c r="E12" s="190">
        <v>9745.9330394690005</v>
      </c>
      <c r="F12" s="142">
        <f>'Labour cost Escalation Factor'!$J$10</f>
        <v>0.27984207704983549</v>
      </c>
      <c r="G12" s="176">
        <f t="shared" si="0"/>
        <v>12473.255184022622</v>
      </c>
      <c r="H12" s="115">
        <f>G12</f>
        <v>12473.255184022622</v>
      </c>
      <c r="I12" s="166" t="s">
        <v>763</v>
      </c>
      <c r="J12" s="96">
        <v>6</v>
      </c>
      <c r="K12" s="96">
        <f t="shared" si="3"/>
        <v>74839.531104135734</v>
      </c>
      <c r="L12" s="96">
        <f t="shared" si="4"/>
        <v>74839.531104135734</v>
      </c>
      <c r="M12" s="96">
        <v>7</v>
      </c>
      <c r="N12" s="96">
        <f t="shared" si="1"/>
        <v>87312.786288158357</v>
      </c>
      <c r="O12" s="96">
        <f t="shared" si="2"/>
        <v>87312.786288158357</v>
      </c>
    </row>
    <row r="13" spans="1:15" ht="38.25" x14ac:dyDescent="0.25">
      <c r="B13" s="181">
        <v>8</v>
      </c>
      <c r="C13" s="135" t="s">
        <v>712</v>
      </c>
      <c r="D13" s="119" t="s">
        <v>666</v>
      </c>
      <c r="E13" s="190">
        <v>6177.3442617369992</v>
      </c>
      <c r="F13" s="142">
        <f>'Labour cost Escalation Factor'!$J$10</f>
        <v>0.27984207704983549</v>
      </c>
      <c r="G13" s="176">
        <f t="shared" si="0"/>
        <v>7906.0251105933639</v>
      </c>
      <c r="H13" s="176">
        <f t="shared" si="5"/>
        <v>11859.037665890046</v>
      </c>
      <c r="I13" s="166" t="s">
        <v>763</v>
      </c>
      <c r="J13" s="96">
        <v>2</v>
      </c>
      <c r="K13" s="96">
        <f t="shared" si="3"/>
        <v>15812.050221186728</v>
      </c>
      <c r="L13" s="96">
        <f t="shared" si="4"/>
        <v>23718.075331780092</v>
      </c>
      <c r="M13" s="96">
        <v>1</v>
      </c>
      <c r="N13" s="96">
        <f t="shared" si="1"/>
        <v>7906.0251105933639</v>
      </c>
      <c r="O13" s="96">
        <f t="shared" si="2"/>
        <v>11859.037665890046</v>
      </c>
    </row>
    <row r="14" spans="1:15" ht="38.25" x14ac:dyDescent="0.25">
      <c r="A14"/>
      <c r="B14" s="181">
        <v>9</v>
      </c>
      <c r="C14" s="135" t="s">
        <v>713</v>
      </c>
      <c r="D14" s="119" t="s">
        <v>666</v>
      </c>
      <c r="E14" s="190">
        <v>10981.93084252</v>
      </c>
      <c r="F14" s="142">
        <f>'Labour cost Escalation Factor'!$J$10</f>
        <v>0.27984207704983549</v>
      </c>
      <c r="G14" s="176">
        <f t="shared" si="0"/>
        <v>14055.137179508447</v>
      </c>
      <c r="H14" s="115">
        <f>G14</f>
        <v>14055.137179508447</v>
      </c>
      <c r="I14" s="166" t="s">
        <v>763</v>
      </c>
      <c r="J14" s="96">
        <v>4</v>
      </c>
      <c r="K14" s="96">
        <f t="shared" si="3"/>
        <v>56220.548718033788</v>
      </c>
      <c r="L14" s="96">
        <f t="shared" si="4"/>
        <v>56220.548718033788</v>
      </c>
      <c r="M14" s="96">
        <v>6</v>
      </c>
      <c r="N14" s="96">
        <f t="shared" si="1"/>
        <v>84330.823077050678</v>
      </c>
      <c r="O14" s="96">
        <f t="shared" si="2"/>
        <v>84330.823077050678</v>
      </c>
    </row>
    <row r="15" spans="1:15" ht="38.25" x14ac:dyDescent="0.25">
      <c r="B15" s="181">
        <v>10</v>
      </c>
      <c r="C15" s="143" t="s">
        <v>381</v>
      </c>
      <c r="D15" s="191" t="s">
        <v>382</v>
      </c>
      <c r="E15" s="176">
        <v>2007</v>
      </c>
      <c r="F15" s="142">
        <f>'Labour cost Escalation Factor'!$J$10</f>
        <v>0.27984207704983549</v>
      </c>
      <c r="G15" s="176">
        <f t="shared" si="0"/>
        <v>2568.64304863902</v>
      </c>
      <c r="H15" s="115">
        <f>G15*$H$1</f>
        <v>3852.96457295853</v>
      </c>
      <c r="I15" s="166" t="s">
        <v>763</v>
      </c>
      <c r="J15" s="96">
        <v>6</v>
      </c>
      <c r="K15" s="96">
        <f t="shared" si="3"/>
        <v>15411.85829183412</v>
      </c>
      <c r="L15" s="96">
        <f t="shared" si="4"/>
        <v>23117.78743775118</v>
      </c>
      <c r="M15" s="96">
        <v>8</v>
      </c>
      <c r="N15" s="96">
        <f t="shared" si="1"/>
        <v>20549.14438911216</v>
      </c>
      <c r="O15" s="96">
        <f t="shared" si="2"/>
        <v>30823.71658366824</v>
      </c>
    </row>
    <row r="16" spans="1:15" ht="25.5" x14ac:dyDescent="0.25">
      <c r="B16" s="392">
        <v>11</v>
      </c>
      <c r="C16" s="135" t="s">
        <v>208</v>
      </c>
      <c r="D16" s="183"/>
      <c r="E16" s="190"/>
      <c r="F16" s="142"/>
      <c r="G16" s="176"/>
      <c r="H16" s="115"/>
      <c r="I16" s="166"/>
      <c r="J16" s="96"/>
      <c r="K16" s="96">
        <f t="shared" si="3"/>
        <v>0</v>
      </c>
      <c r="L16" s="96">
        <f t="shared" si="4"/>
        <v>0</v>
      </c>
      <c r="M16" s="96"/>
      <c r="N16" s="96">
        <f t="shared" si="1"/>
        <v>0</v>
      </c>
      <c r="O16" s="96">
        <f t="shared" si="2"/>
        <v>0</v>
      </c>
    </row>
    <row r="17" spans="2:15" ht="25.5" x14ac:dyDescent="0.25">
      <c r="B17" s="393"/>
      <c r="C17" s="135" t="s">
        <v>55</v>
      </c>
      <c r="D17" s="183" t="s">
        <v>53</v>
      </c>
      <c r="E17" s="190">
        <v>1396.8706497570001</v>
      </c>
      <c r="F17" s="142">
        <f>'Labour cost Escalation Factor'!$J$10</f>
        <v>0.27984207704983549</v>
      </c>
      <c r="G17" s="176">
        <f>E17*(1+F17)</f>
        <v>1787.7738337549524</v>
      </c>
      <c r="H17" s="115">
        <f>G17</f>
        <v>1787.7738337549524</v>
      </c>
      <c r="I17" s="166" t="s">
        <v>763</v>
      </c>
      <c r="J17" s="96">
        <v>2</v>
      </c>
      <c r="K17" s="96">
        <f t="shared" si="3"/>
        <v>3575.5476675099048</v>
      </c>
      <c r="L17" s="96">
        <f t="shared" si="4"/>
        <v>3575.5476675099048</v>
      </c>
      <c r="M17" s="96">
        <v>2</v>
      </c>
      <c r="N17" s="96">
        <f t="shared" si="1"/>
        <v>3575.5476675099048</v>
      </c>
      <c r="O17" s="96">
        <f t="shared" si="2"/>
        <v>3575.5476675099048</v>
      </c>
    </row>
    <row r="18" spans="2:15" ht="25.5" x14ac:dyDescent="0.25">
      <c r="B18" s="394"/>
      <c r="C18" s="135" t="s">
        <v>56</v>
      </c>
      <c r="D18" s="183" t="s">
        <v>53</v>
      </c>
      <c r="E18" s="190">
        <v>1002.737073019</v>
      </c>
      <c r="F18" s="142">
        <f>'Labour cost Escalation Factor'!$J$10</f>
        <v>0.27984207704983549</v>
      </c>
      <c r="G18" s="176">
        <f>E18*(1+F18)</f>
        <v>1283.3450982675097</v>
      </c>
      <c r="H18" s="115">
        <f>G18</f>
        <v>1283.3450982675097</v>
      </c>
      <c r="I18" s="166" t="s">
        <v>763</v>
      </c>
      <c r="J18" s="96">
        <v>4</v>
      </c>
      <c r="K18" s="96">
        <f t="shared" si="3"/>
        <v>5133.3803930700387</v>
      </c>
      <c r="L18" s="96">
        <f t="shared" si="4"/>
        <v>5133.3803930700387</v>
      </c>
      <c r="M18" s="96">
        <v>6</v>
      </c>
      <c r="N18" s="96">
        <f t="shared" si="1"/>
        <v>7700.0705896050586</v>
      </c>
      <c r="O18" s="96">
        <f t="shared" si="2"/>
        <v>7700.0705896050586</v>
      </c>
    </row>
    <row r="19" spans="2:15" ht="38.25" x14ac:dyDescent="0.25">
      <c r="B19" s="392">
        <v>12</v>
      </c>
      <c r="C19" s="135" t="s">
        <v>57</v>
      </c>
      <c r="D19" s="183"/>
      <c r="E19" s="190"/>
      <c r="F19" s="142"/>
      <c r="G19" s="176"/>
      <c r="H19" s="115"/>
      <c r="I19" s="166"/>
      <c r="J19" s="96"/>
      <c r="K19" s="96">
        <f t="shared" si="3"/>
        <v>0</v>
      </c>
      <c r="L19" s="96">
        <f t="shared" si="4"/>
        <v>0</v>
      </c>
      <c r="M19" s="96"/>
      <c r="N19" s="96">
        <f t="shared" si="1"/>
        <v>0</v>
      </c>
      <c r="O19" s="96">
        <f t="shared" si="2"/>
        <v>0</v>
      </c>
    </row>
    <row r="20" spans="2:15" ht="25.5" x14ac:dyDescent="0.25">
      <c r="B20" s="393"/>
      <c r="C20" s="135" t="s">
        <v>55</v>
      </c>
      <c r="D20" s="119" t="s">
        <v>58</v>
      </c>
      <c r="E20" s="190">
        <v>1434.4032938179998</v>
      </c>
      <c r="F20" s="142">
        <f>'Labour cost Escalation Factor'!$J$10</f>
        <v>0.27984207704983549</v>
      </c>
      <c r="G20" s="176">
        <f>E20*(1+F20)</f>
        <v>1835.8096908871544</v>
      </c>
      <c r="H20" s="115">
        <f>G20</f>
        <v>1835.8096908871544</v>
      </c>
      <c r="I20" s="166" t="s">
        <v>763</v>
      </c>
      <c r="J20" s="96">
        <v>12</v>
      </c>
      <c r="K20" s="96">
        <f t="shared" si="3"/>
        <v>22029.716290645854</v>
      </c>
      <c r="L20" s="96">
        <f t="shared" si="4"/>
        <v>22029.716290645854</v>
      </c>
      <c r="M20" s="96">
        <v>9</v>
      </c>
      <c r="N20" s="96">
        <f t="shared" si="1"/>
        <v>16522.287217984391</v>
      </c>
      <c r="O20" s="96">
        <f t="shared" si="2"/>
        <v>16522.287217984391</v>
      </c>
    </row>
    <row r="21" spans="2:15" ht="25.5" x14ac:dyDescent="0.25">
      <c r="B21" s="394"/>
      <c r="C21" s="135" t="s">
        <v>56</v>
      </c>
      <c r="D21" s="119" t="s">
        <v>58</v>
      </c>
      <c r="E21" s="190">
        <v>1051.011987542</v>
      </c>
      <c r="F21" s="142">
        <f>'Labour cost Escalation Factor'!$J$10</f>
        <v>0.27984207704983549</v>
      </c>
      <c r="G21" s="176">
        <f>E21*(1+F21)</f>
        <v>1345.1293651400292</v>
      </c>
      <c r="H21" s="115">
        <f>G21</f>
        <v>1345.1293651400292</v>
      </c>
      <c r="I21" s="166" t="s">
        <v>763</v>
      </c>
      <c r="J21" s="96">
        <v>18</v>
      </c>
      <c r="K21" s="96">
        <f t="shared" si="3"/>
        <v>24212.328572520528</v>
      </c>
      <c r="L21" s="96">
        <f t="shared" si="4"/>
        <v>24212.328572520528</v>
      </c>
      <c r="M21" s="96">
        <v>21</v>
      </c>
      <c r="N21" s="96">
        <f t="shared" si="1"/>
        <v>28247.716667940615</v>
      </c>
      <c r="O21" s="96">
        <f t="shared" si="2"/>
        <v>28247.716667940615</v>
      </c>
    </row>
    <row r="22" spans="2:15" ht="25.5" x14ac:dyDescent="0.25">
      <c r="B22" s="392">
        <v>13</v>
      </c>
      <c r="C22" s="135" t="s">
        <v>383</v>
      </c>
      <c r="D22" s="183"/>
      <c r="E22" s="190"/>
      <c r="F22" s="142"/>
      <c r="G22" s="176"/>
      <c r="H22" s="115">
        <f>G22</f>
        <v>0</v>
      </c>
      <c r="I22" s="166"/>
      <c r="J22" s="96"/>
      <c r="K22" s="96">
        <f t="shared" si="3"/>
        <v>0</v>
      </c>
      <c r="L22" s="96">
        <f t="shared" si="4"/>
        <v>0</v>
      </c>
      <c r="M22" s="96"/>
      <c r="N22" s="96">
        <f t="shared" si="1"/>
        <v>0</v>
      </c>
      <c r="O22" s="96">
        <f t="shared" si="2"/>
        <v>0</v>
      </c>
    </row>
    <row r="23" spans="2:15" ht="25.5" x14ac:dyDescent="0.25">
      <c r="B23" s="393"/>
      <c r="C23" s="135" t="s">
        <v>55</v>
      </c>
      <c r="D23" s="119" t="s">
        <v>53</v>
      </c>
      <c r="E23" s="190">
        <v>1541.6464164089998</v>
      </c>
      <c r="F23" s="142">
        <f>'Labour cost Escalation Factor'!$J$10</f>
        <v>0.27984207704983549</v>
      </c>
      <c r="G23" s="176">
        <f>E23*(1+F23)</f>
        <v>1973.0639516533299</v>
      </c>
      <c r="H23" s="115">
        <f>G23</f>
        <v>1973.0639516533299</v>
      </c>
      <c r="I23" s="166" t="s">
        <v>763</v>
      </c>
      <c r="J23" s="96">
        <v>2</v>
      </c>
      <c r="K23" s="96">
        <f t="shared" si="3"/>
        <v>3946.1279033066598</v>
      </c>
      <c r="L23" s="96">
        <f t="shared" si="4"/>
        <v>3946.1279033066598</v>
      </c>
      <c r="M23" s="96">
        <v>2</v>
      </c>
      <c r="N23" s="96">
        <f t="shared" si="1"/>
        <v>3946.1279033066598</v>
      </c>
      <c r="O23" s="96">
        <f t="shared" si="2"/>
        <v>3946.1279033066598</v>
      </c>
    </row>
    <row r="24" spans="2:15" ht="25.5" x14ac:dyDescent="0.25">
      <c r="B24" s="394"/>
      <c r="C24" s="135" t="s">
        <v>56</v>
      </c>
      <c r="D24" s="119" t="s">
        <v>53</v>
      </c>
      <c r="E24" s="190">
        <v>1051.011987542</v>
      </c>
      <c r="F24" s="142">
        <f>'Labour cost Escalation Factor'!$J$10</f>
        <v>0.27984207704983549</v>
      </c>
      <c r="G24" s="176">
        <f>E24*(1+F24)</f>
        <v>1345.1293651400292</v>
      </c>
      <c r="H24" s="115">
        <f>G24</f>
        <v>1345.1293651400292</v>
      </c>
      <c r="I24" s="166" t="s">
        <v>763</v>
      </c>
      <c r="J24" s="96">
        <v>4</v>
      </c>
      <c r="K24" s="96">
        <f t="shared" si="3"/>
        <v>5380.5174605601169</v>
      </c>
      <c r="L24" s="96">
        <f t="shared" si="4"/>
        <v>5380.5174605601169</v>
      </c>
      <c r="M24" s="96">
        <v>6</v>
      </c>
      <c r="N24" s="96">
        <f t="shared" si="1"/>
        <v>8070.7761908401753</v>
      </c>
      <c r="O24" s="96">
        <f t="shared" si="2"/>
        <v>8070.7761908401753</v>
      </c>
    </row>
    <row r="25" spans="2:15" x14ac:dyDescent="0.25">
      <c r="B25" s="392">
        <v>14</v>
      </c>
      <c r="C25" s="135" t="s">
        <v>362</v>
      </c>
      <c r="D25" s="183"/>
      <c r="E25" s="190"/>
      <c r="F25" s="142"/>
      <c r="G25" s="176"/>
      <c r="H25" s="115"/>
      <c r="I25" s="166"/>
      <c r="J25" s="96"/>
      <c r="K25" s="96">
        <f t="shared" si="3"/>
        <v>0</v>
      </c>
      <c r="L25" s="96">
        <f t="shared" si="4"/>
        <v>0</v>
      </c>
      <c r="M25" s="96"/>
      <c r="N25" s="96">
        <f t="shared" si="1"/>
        <v>0</v>
      </c>
      <c r="O25" s="96">
        <f t="shared" si="2"/>
        <v>0</v>
      </c>
    </row>
    <row r="26" spans="2:15" ht="25.5" x14ac:dyDescent="0.25">
      <c r="B26" s="393"/>
      <c r="C26" s="135" t="s">
        <v>81</v>
      </c>
      <c r="D26" s="183" t="s">
        <v>11</v>
      </c>
      <c r="E26" s="190">
        <v>670.28176042299992</v>
      </c>
      <c r="F26" s="142">
        <f>'Labour cost Escalation Factor'!$J$10</f>
        <v>0.27984207704983549</v>
      </c>
      <c r="G26" s="176">
        <f>E26*(1+F26)</f>
        <v>857.85480046839245</v>
      </c>
      <c r="H26" s="115">
        <f>G26</f>
        <v>857.85480046839245</v>
      </c>
      <c r="I26" s="166" t="s">
        <v>763</v>
      </c>
      <c r="J26" s="96">
        <v>2</v>
      </c>
      <c r="K26" s="96">
        <f t="shared" si="3"/>
        <v>1715.7096009367849</v>
      </c>
      <c r="L26" s="96">
        <f t="shared" si="4"/>
        <v>1715.7096009367849</v>
      </c>
      <c r="M26" s="96">
        <v>2</v>
      </c>
      <c r="N26" s="96">
        <f t="shared" si="1"/>
        <v>1715.7096009367849</v>
      </c>
      <c r="O26" s="96">
        <f t="shared" si="2"/>
        <v>1715.7096009367849</v>
      </c>
    </row>
    <row r="27" spans="2:15" ht="25.5" x14ac:dyDescent="0.25">
      <c r="B27" s="394"/>
      <c r="C27" s="135" t="s">
        <v>80</v>
      </c>
      <c r="D27" s="183" t="s">
        <v>11</v>
      </c>
      <c r="E27" s="190">
        <v>479.92480968300003</v>
      </c>
      <c r="F27" s="142">
        <f>'Labour cost Escalation Factor'!$J$10</f>
        <v>0.27984207704983549</v>
      </c>
      <c r="G27" s="176">
        <f>E27*(1+F27)</f>
        <v>614.2279652524378</v>
      </c>
      <c r="H27" s="115">
        <f>G27</f>
        <v>614.2279652524378</v>
      </c>
      <c r="I27" s="166" t="s">
        <v>763</v>
      </c>
      <c r="J27" s="96">
        <v>4</v>
      </c>
      <c r="K27" s="96">
        <f t="shared" si="3"/>
        <v>2456.9118610097512</v>
      </c>
      <c r="L27" s="96">
        <f t="shared" si="4"/>
        <v>2456.9118610097512</v>
      </c>
      <c r="M27" s="96">
        <v>6</v>
      </c>
      <c r="N27" s="96">
        <f t="shared" si="1"/>
        <v>3685.3677915146268</v>
      </c>
      <c r="O27" s="96">
        <f t="shared" si="2"/>
        <v>3685.3677915146268</v>
      </c>
    </row>
    <row r="28" spans="2:15" ht="38.25" x14ac:dyDescent="0.25">
      <c r="B28" s="181">
        <v>15</v>
      </c>
      <c r="C28" s="143" t="s">
        <v>363</v>
      </c>
      <c r="D28" s="191" t="s">
        <v>382</v>
      </c>
      <c r="E28" s="176">
        <v>1235</v>
      </c>
      <c r="F28" s="142">
        <f>'Labour cost Escalation Factor'!$J$10</f>
        <v>0.27984207704983549</v>
      </c>
      <c r="G28" s="176">
        <f>E28*(1+F28)</f>
        <v>1580.604965156547</v>
      </c>
      <c r="H28" s="115">
        <f>G28</f>
        <v>1580.604965156547</v>
      </c>
      <c r="I28" s="166" t="s">
        <v>763</v>
      </c>
      <c r="J28" s="96">
        <v>4</v>
      </c>
      <c r="K28" s="96">
        <f t="shared" si="3"/>
        <v>6322.419860626188</v>
      </c>
      <c r="L28" s="96">
        <f t="shared" si="4"/>
        <v>6322.419860626188</v>
      </c>
      <c r="M28" s="96">
        <v>6</v>
      </c>
      <c r="N28" s="96">
        <f t="shared" si="1"/>
        <v>9483.6297909392815</v>
      </c>
      <c r="O28" s="96">
        <f t="shared" si="2"/>
        <v>9483.6297909392815</v>
      </c>
    </row>
    <row r="29" spans="2:15" ht="25.5" x14ac:dyDescent="0.25">
      <c r="B29" s="181">
        <v>16</v>
      </c>
      <c r="C29" s="135" t="s">
        <v>384</v>
      </c>
      <c r="D29" s="119" t="s">
        <v>53</v>
      </c>
      <c r="E29" s="190">
        <v>1002.737073019</v>
      </c>
      <c r="F29" s="142">
        <f>'Labour cost Escalation Factor'!$J$10</f>
        <v>0.27984207704983549</v>
      </c>
      <c r="G29" s="176">
        <f>E29*(1+F29)</f>
        <v>1283.3450982675097</v>
      </c>
      <c r="H29" s="115">
        <f>G29</f>
        <v>1283.3450982675097</v>
      </c>
      <c r="I29" s="166" t="s">
        <v>763</v>
      </c>
      <c r="J29" s="96">
        <v>4</v>
      </c>
      <c r="K29" s="96">
        <f t="shared" si="3"/>
        <v>5133.3803930700387</v>
      </c>
      <c r="L29" s="96">
        <f t="shared" si="4"/>
        <v>5133.3803930700387</v>
      </c>
      <c r="M29" s="96">
        <v>4</v>
      </c>
      <c r="N29" s="96">
        <f t="shared" si="1"/>
        <v>5133.3803930700387</v>
      </c>
      <c r="O29" s="96">
        <f t="shared" si="2"/>
        <v>5133.3803930700387</v>
      </c>
    </row>
    <row r="30" spans="2:15" ht="25.5" x14ac:dyDescent="0.25">
      <c r="B30" s="181">
        <v>17</v>
      </c>
      <c r="C30" s="135" t="s">
        <v>659</v>
      </c>
      <c r="D30" s="119" t="s">
        <v>53</v>
      </c>
      <c r="E30" s="190">
        <v>1002.737073019</v>
      </c>
      <c r="F30" s="142">
        <f>'Labour cost Escalation Factor'!$J$10</f>
        <v>0.27984207704983549</v>
      </c>
      <c r="G30" s="176">
        <f>E30*(1+F30)</f>
        <v>1283.3450982675097</v>
      </c>
      <c r="H30" s="115">
        <f>G30</f>
        <v>1283.3450982675097</v>
      </c>
      <c r="I30" s="166" t="s">
        <v>763</v>
      </c>
      <c r="J30" s="96">
        <v>4</v>
      </c>
      <c r="K30" s="96">
        <f t="shared" si="3"/>
        <v>5133.3803930700387</v>
      </c>
      <c r="L30" s="96">
        <f t="shared" si="4"/>
        <v>5133.3803930700387</v>
      </c>
      <c r="M30" s="96">
        <v>4</v>
      </c>
      <c r="N30" s="96">
        <f t="shared" si="1"/>
        <v>5133.3803930700387</v>
      </c>
      <c r="O30" s="96">
        <f t="shared" si="2"/>
        <v>5133.3803930700387</v>
      </c>
    </row>
    <row r="31" spans="2:15" x14ac:dyDescent="0.25">
      <c r="B31" s="408">
        <v>18</v>
      </c>
      <c r="C31" s="135" t="s">
        <v>207</v>
      </c>
      <c r="D31" s="183"/>
      <c r="E31" s="190"/>
      <c r="F31" s="142"/>
      <c r="G31" s="176"/>
      <c r="H31" s="115"/>
      <c r="I31" s="166"/>
      <c r="J31" s="96"/>
      <c r="K31" s="96">
        <f t="shared" si="3"/>
        <v>0</v>
      </c>
      <c r="L31" s="96">
        <f t="shared" si="4"/>
        <v>0</v>
      </c>
      <c r="M31" s="96"/>
      <c r="N31" s="96">
        <f t="shared" si="1"/>
        <v>0</v>
      </c>
      <c r="O31" s="96">
        <f t="shared" si="2"/>
        <v>0</v>
      </c>
    </row>
    <row r="32" spans="2:15" ht="25.5" x14ac:dyDescent="0.25">
      <c r="B32" s="408"/>
      <c r="C32" s="135" t="s">
        <v>385</v>
      </c>
      <c r="D32" s="183" t="s">
        <v>53</v>
      </c>
      <c r="E32" s="190">
        <v>463.84405526800003</v>
      </c>
      <c r="F32" s="142">
        <f>'Labour cost Escalation Factor'!$J$10</f>
        <v>0.27984207704983549</v>
      </c>
      <c r="G32" s="176">
        <f>E32*(1+F32)</f>
        <v>593.64713912141588</v>
      </c>
      <c r="H32" s="115">
        <f>G32</f>
        <v>593.64713912141588</v>
      </c>
      <c r="I32" s="166" t="s">
        <v>763</v>
      </c>
      <c r="J32" s="96">
        <v>36</v>
      </c>
      <c r="K32" s="96">
        <f t="shared" si="3"/>
        <v>21371.297008370973</v>
      </c>
      <c r="L32" s="96">
        <f t="shared" si="4"/>
        <v>21371.297008370973</v>
      </c>
      <c r="M32" s="96">
        <v>36</v>
      </c>
      <c r="N32" s="96">
        <f t="shared" si="1"/>
        <v>21371.297008370973</v>
      </c>
      <c r="O32" s="96">
        <f t="shared" si="2"/>
        <v>21371.297008370973</v>
      </c>
    </row>
    <row r="33" spans="2:17" ht="25.5" x14ac:dyDescent="0.25">
      <c r="B33" s="408"/>
      <c r="C33" s="135" t="s">
        <v>386</v>
      </c>
      <c r="D33" s="183" t="s">
        <v>53</v>
      </c>
      <c r="E33" s="190">
        <f>E32/3</f>
        <v>154.61468508933334</v>
      </c>
      <c r="F33" s="142">
        <f>'Labour cost Escalation Factor'!$J$10</f>
        <v>0.27984207704983549</v>
      </c>
      <c r="G33" s="176">
        <f>E33*(1+F33)</f>
        <v>197.88237970713863</v>
      </c>
      <c r="H33" s="115">
        <f>G33</f>
        <v>197.88237970713863</v>
      </c>
      <c r="I33" s="166" t="s">
        <v>763</v>
      </c>
      <c r="J33" s="96">
        <v>18</v>
      </c>
      <c r="K33" s="96">
        <f t="shared" si="3"/>
        <v>3561.8828347284953</v>
      </c>
      <c r="L33" s="96">
        <f t="shared" si="4"/>
        <v>3561.8828347284953</v>
      </c>
      <c r="M33" s="96">
        <v>18</v>
      </c>
      <c r="N33" s="96">
        <f t="shared" si="1"/>
        <v>3561.8828347284953</v>
      </c>
      <c r="O33" s="96">
        <f t="shared" si="2"/>
        <v>3561.8828347284953</v>
      </c>
    </row>
    <row r="34" spans="2:17" ht="25.5" x14ac:dyDescent="0.25">
      <c r="B34" s="408">
        <v>19</v>
      </c>
      <c r="C34" s="135" t="s">
        <v>387</v>
      </c>
      <c r="D34" s="183"/>
      <c r="E34" s="190"/>
      <c r="F34" s="142"/>
      <c r="G34" s="176"/>
      <c r="H34" s="115"/>
      <c r="I34" s="166"/>
      <c r="J34" s="96"/>
      <c r="K34" s="96">
        <f t="shared" si="3"/>
        <v>0</v>
      </c>
      <c r="L34" s="96">
        <f t="shared" si="4"/>
        <v>0</v>
      </c>
      <c r="M34" s="96"/>
      <c r="N34" s="96">
        <f t="shared" si="1"/>
        <v>0</v>
      </c>
      <c r="O34" s="96">
        <f t="shared" si="2"/>
        <v>0</v>
      </c>
    </row>
    <row r="35" spans="2:17" ht="25.5" x14ac:dyDescent="0.25">
      <c r="B35" s="408"/>
      <c r="C35" s="135" t="s">
        <v>137</v>
      </c>
      <c r="D35" s="119" t="s">
        <v>54</v>
      </c>
      <c r="E35" s="190">
        <v>150.146901883</v>
      </c>
      <c r="F35" s="142">
        <f>'Labour cost Escalation Factor'!$J$10</f>
        <v>0.27984207704983549</v>
      </c>
      <c r="G35" s="176">
        <f>E35*(1+F35)</f>
        <v>192.16432276853658</v>
      </c>
      <c r="H35" s="115">
        <f>G35</f>
        <v>192.16432276853658</v>
      </c>
      <c r="I35" s="166" t="s">
        <v>763</v>
      </c>
      <c r="J35" s="96">
        <v>1000</v>
      </c>
      <c r="K35" s="96">
        <f t="shared" si="3"/>
        <v>192164.32276853657</v>
      </c>
      <c r="L35" s="96">
        <f t="shared" si="4"/>
        <v>192164.32276853657</v>
      </c>
      <c r="M35" s="96">
        <v>1000</v>
      </c>
      <c r="N35" s="96">
        <f t="shared" si="1"/>
        <v>192164.32276853657</v>
      </c>
      <c r="O35" s="96">
        <f t="shared" si="2"/>
        <v>192164.32276853657</v>
      </c>
      <c r="P35" s="37"/>
      <c r="Q35" s="37"/>
    </row>
    <row r="36" spans="2:17" ht="25.5" x14ac:dyDescent="0.25">
      <c r="B36" s="408"/>
      <c r="C36" s="135" t="s">
        <v>134</v>
      </c>
      <c r="D36" s="119" t="s">
        <v>54</v>
      </c>
      <c r="E36" s="190">
        <v>134.049821829</v>
      </c>
      <c r="F36" s="142">
        <f>'Labour cost Escalation Factor'!$J$10</f>
        <v>0.27984207704983549</v>
      </c>
      <c r="G36" s="176">
        <f>E36*(1+F36)</f>
        <v>171.56260239778774</v>
      </c>
      <c r="H36" s="115">
        <f>G36</f>
        <v>171.56260239778774</v>
      </c>
      <c r="I36" s="166" t="s">
        <v>763</v>
      </c>
      <c r="J36" s="96"/>
      <c r="K36" s="96">
        <f t="shared" si="3"/>
        <v>0</v>
      </c>
      <c r="L36" s="96">
        <f t="shared" si="4"/>
        <v>0</v>
      </c>
      <c r="M36" s="96"/>
      <c r="N36" s="96">
        <f t="shared" si="1"/>
        <v>0</v>
      </c>
      <c r="O36" s="96">
        <f t="shared" si="2"/>
        <v>0</v>
      </c>
    </row>
    <row r="37" spans="2:17" ht="25.5" x14ac:dyDescent="0.25">
      <c r="B37" s="181">
        <v>20</v>
      </c>
      <c r="C37" s="135" t="s">
        <v>702</v>
      </c>
      <c r="D37" s="119" t="s">
        <v>703</v>
      </c>
      <c r="E37" s="148">
        <v>27071.435800023995</v>
      </c>
      <c r="F37" s="142">
        <f>'Labour cost Escalation Factor'!$J$10</f>
        <v>0.27984207704983549</v>
      </c>
      <c r="G37" s="176">
        <f>E37*(1+F37)</f>
        <v>34647.162623023985</v>
      </c>
      <c r="H37" s="115">
        <f>G37</f>
        <v>34647.162623023985</v>
      </c>
      <c r="I37" s="166" t="s">
        <v>763</v>
      </c>
      <c r="J37" s="96">
        <v>2</v>
      </c>
      <c r="K37" s="96">
        <f t="shared" si="3"/>
        <v>69294.325246047971</v>
      </c>
      <c r="L37" s="96">
        <f t="shared" si="4"/>
        <v>69294.325246047971</v>
      </c>
      <c r="M37" s="96">
        <v>1</v>
      </c>
      <c r="N37" s="96">
        <f t="shared" si="1"/>
        <v>34647.162623023985</v>
      </c>
      <c r="O37" s="96">
        <f t="shared" si="2"/>
        <v>34647.162623023985</v>
      </c>
    </row>
    <row r="38" spans="2:17" ht="25.5" x14ac:dyDescent="0.25">
      <c r="B38" s="408">
        <v>21</v>
      </c>
      <c r="C38" s="135" t="s">
        <v>388</v>
      </c>
      <c r="D38" s="119"/>
      <c r="E38" s="190"/>
      <c r="F38" s="142"/>
      <c r="G38" s="176"/>
      <c r="H38" s="115"/>
      <c r="I38" s="166"/>
      <c r="J38" s="96"/>
      <c r="K38" s="96">
        <f t="shared" si="3"/>
        <v>0</v>
      </c>
      <c r="L38" s="96">
        <f t="shared" si="4"/>
        <v>0</v>
      </c>
      <c r="M38" s="96"/>
      <c r="N38" s="96">
        <f t="shared" si="1"/>
        <v>0</v>
      </c>
      <c r="O38" s="96">
        <f t="shared" si="2"/>
        <v>0</v>
      </c>
    </row>
    <row r="39" spans="2:17" ht="25.5" x14ac:dyDescent="0.25">
      <c r="B39" s="408"/>
      <c r="C39" s="135" t="s">
        <v>701</v>
      </c>
      <c r="D39" s="119" t="s">
        <v>42</v>
      </c>
      <c r="E39" s="190">
        <v>13689.880909088999</v>
      </c>
      <c r="F39" s="142">
        <f>'Labour cost Escalation Factor'!$J$10</f>
        <v>0.27984207704983549</v>
      </c>
      <c r="G39" s="176">
        <f>E39*(1+F39)</f>
        <v>17520.885617253356</v>
      </c>
      <c r="H39" s="115">
        <f t="shared" ref="H39:H46" si="6">G39</f>
        <v>17520.885617253356</v>
      </c>
      <c r="I39" s="166" t="s">
        <v>763</v>
      </c>
      <c r="J39" s="96"/>
      <c r="K39" s="96">
        <f t="shared" si="3"/>
        <v>0</v>
      </c>
      <c r="L39" s="96">
        <f t="shared" si="4"/>
        <v>0</v>
      </c>
      <c r="M39" s="96"/>
      <c r="N39" s="96">
        <f t="shared" si="1"/>
        <v>0</v>
      </c>
      <c r="O39" s="96">
        <f t="shared" si="2"/>
        <v>0</v>
      </c>
    </row>
    <row r="40" spans="2:17" ht="25.5" x14ac:dyDescent="0.25">
      <c r="B40" s="408"/>
      <c r="C40" s="135" t="s">
        <v>700</v>
      </c>
      <c r="D40" s="119" t="s">
        <v>42</v>
      </c>
      <c r="E40" s="190">
        <v>20537.506931249001</v>
      </c>
      <c r="F40" s="142">
        <f>'Labour cost Escalation Factor'!$J$10</f>
        <v>0.27984207704983549</v>
      </c>
      <c r="G40" s="176">
        <f>E40*(1+F40)</f>
        <v>26284.765528315114</v>
      </c>
      <c r="H40" s="115">
        <f t="shared" si="6"/>
        <v>26284.765528315114</v>
      </c>
      <c r="I40" s="166" t="s">
        <v>763</v>
      </c>
      <c r="J40" s="96"/>
      <c r="K40" s="96">
        <f t="shared" si="3"/>
        <v>0</v>
      </c>
      <c r="L40" s="96">
        <f t="shared" si="4"/>
        <v>0</v>
      </c>
      <c r="M40" s="96"/>
      <c r="N40" s="96">
        <f t="shared" si="1"/>
        <v>0</v>
      </c>
      <c r="O40" s="96">
        <f t="shared" si="2"/>
        <v>0</v>
      </c>
    </row>
    <row r="41" spans="2:17" ht="25.5" x14ac:dyDescent="0.25">
      <c r="B41" s="408"/>
      <c r="C41" s="135" t="s">
        <v>715</v>
      </c>
      <c r="D41" s="119" t="s">
        <v>42</v>
      </c>
      <c r="E41" s="190">
        <v>27111.645848881002</v>
      </c>
      <c r="F41" s="142">
        <f>'Labour cost Escalation Factor'!$J$10</f>
        <v>0.27984207704983549</v>
      </c>
      <c r="G41" s="176">
        <f>E41*(1+F41)</f>
        <v>34698.625135471411</v>
      </c>
      <c r="H41" s="115">
        <f t="shared" si="6"/>
        <v>34698.625135471411</v>
      </c>
      <c r="I41" s="166" t="s">
        <v>763</v>
      </c>
      <c r="J41" s="96">
        <v>2</v>
      </c>
      <c r="K41" s="96">
        <f t="shared" si="3"/>
        <v>69397.250270942823</v>
      </c>
      <c r="L41" s="96">
        <f t="shared" si="4"/>
        <v>69397.250270942823</v>
      </c>
      <c r="M41" s="96"/>
      <c r="N41" s="96">
        <f t="shared" si="1"/>
        <v>0</v>
      </c>
      <c r="O41" s="96">
        <f t="shared" si="2"/>
        <v>0</v>
      </c>
    </row>
    <row r="42" spans="2:17" ht="25.5" x14ac:dyDescent="0.25">
      <c r="B42" s="408"/>
      <c r="C42" s="135" t="s">
        <v>716</v>
      </c>
      <c r="D42" s="119" t="s">
        <v>42</v>
      </c>
      <c r="E42" s="190" t="s">
        <v>90</v>
      </c>
      <c r="F42" s="142"/>
      <c r="G42" s="176">
        <f>G41*1.5</f>
        <v>52047.937703207121</v>
      </c>
      <c r="H42" s="115">
        <f t="shared" si="6"/>
        <v>52047.937703207121</v>
      </c>
      <c r="I42" s="166" t="s">
        <v>771</v>
      </c>
      <c r="J42" s="96"/>
      <c r="K42" s="96">
        <f t="shared" si="3"/>
        <v>0</v>
      </c>
      <c r="L42" s="96">
        <f t="shared" si="4"/>
        <v>0</v>
      </c>
      <c r="M42" s="96">
        <v>1</v>
      </c>
      <c r="N42" s="96">
        <f t="shared" si="1"/>
        <v>52047.937703207121</v>
      </c>
      <c r="O42" s="96">
        <f t="shared" si="2"/>
        <v>52047.937703207121</v>
      </c>
    </row>
    <row r="43" spans="2:17" ht="38.25" x14ac:dyDescent="0.25">
      <c r="B43" s="181">
        <v>22</v>
      </c>
      <c r="C43" s="135" t="s">
        <v>656</v>
      </c>
      <c r="D43" s="192" t="s">
        <v>40</v>
      </c>
      <c r="E43" s="148" t="s">
        <v>660</v>
      </c>
      <c r="F43" s="193"/>
      <c r="G43" s="176">
        <f>(('Labour cost Escalation Factor'!$I$5*8)+('Labour cost Escalation Factor'!$I$6*2)+'Labour cost Escalation Factor'!I7)*1.15*1.12*2</f>
        <v>7271.6873599999999</v>
      </c>
      <c r="H43" s="115">
        <f t="shared" si="6"/>
        <v>7271.6873599999999</v>
      </c>
      <c r="I43" s="166" t="s">
        <v>658</v>
      </c>
      <c r="J43" s="96">
        <v>4</v>
      </c>
      <c r="K43" s="96">
        <f t="shared" si="3"/>
        <v>29086.74944</v>
      </c>
      <c r="L43" s="96">
        <f t="shared" si="4"/>
        <v>29086.74944</v>
      </c>
      <c r="M43" s="96">
        <v>4</v>
      </c>
      <c r="N43" s="96">
        <f t="shared" si="1"/>
        <v>29086.74944</v>
      </c>
      <c r="O43" s="96">
        <f t="shared" si="2"/>
        <v>29086.74944</v>
      </c>
    </row>
    <row r="44" spans="2:17" ht="38.25" x14ac:dyDescent="0.25">
      <c r="B44" s="181">
        <v>23</v>
      </c>
      <c r="C44" s="135" t="s">
        <v>657</v>
      </c>
      <c r="D44" s="192" t="s">
        <v>40</v>
      </c>
      <c r="E44" s="148" t="s">
        <v>660</v>
      </c>
      <c r="F44" s="142"/>
      <c r="G44" s="176">
        <f>(('Labour cost Escalation Factor'!$I$5*8)+('Labour cost Escalation Factor'!$I$6*2)+'Labour cost Escalation Factor'!I7)*1.15*1.12*2</f>
        <v>7271.6873599999999</v>
      </c>
      <c r="H44" s="115">
        <f t="shared" si="6"/>
        <v>7271.6873599999999</v>
      </c>
      <c r="I44" s="166" t="s">
        <v>359</v>
      </c>
      <c r="J44" s="96">
        <v>6</v>
      </c>
      <c r="K44" s="96">
        <f t="shared" si="3"/>
        <v>43630.124159999999</v>
      </c>
      <c r="L44" s="96">
        <f t="shared" si="4"/>
        <v>43630.124159999999</v>
      </c>
      <c r="M44" s="96">
        <v>8</v>
      </c>
      <c r="N44" s="96">
        <f t="shared" si="1"/>
        <v>58173.498879999999</v>
      </c>
      <c r="O44" s="96">
        <f t="shared" si="2"/>
        <v>58173.498879999999</v>
      </c>
    </row>
    <row r="45" spans="2:17" ht="25.5" x14ac:dyDescent="0.25">
      <c r="B45" s="181">
        <v>24</v>
      </c>
      <c r="C45" s="135" t="s">
        <v>361</v>
      </c>
      <c r="D45" s="192" t="s">
        <v>389</v>
      </c>
      <c r="E45" s="190">
        <f>2903.67815254/100</f>
        <v>29.036781525400002</v>
      </c>
      <c r="F45" s="142">
        <f>'Labour cost Escalation Factor'!$J$10</f>
        <v>0.27984207704983549</v>
      </c>
      <c r="G45" s="176">
        <f>('Labour cost Escalation Factor'!I6+('Labour cost Escalation Factor'!I7*2))*1.15*1.2*3/100</f>
        <v>41.94109799999999</v>
      </c>
      <c r="H45" s="115">
        <f t="shared" si="6"/>
        <v>41.94109799999999</v>
      </c>
      <c r="I45" s="166" t="s">
        <v>360</v>
      </c>
      <c r="J45" s="96">
        <v>3100</v>
      </c>
      <c r="K45" s="96">
        <f t="shared" si="3"/>
        <v>130017.40379999997</v>
      </c>
      <c r="L45" s="96">
        <f t="shared" si="4"/>
        <v>130017.40379999997</v>
      </c>
      <c r="M45" s="96">
        <v>3100</v>
      </c>
      <c r="N45" s="96">
        <f t="shared" si="1"/>
        <v>130017.40379999997</v>
      </c>
      <c r="O45" s="96">
        <f t="shared" si="2"/>
        <v>130017.40379999997</v>
      </c>
    </row>
    <row r="46" spans="2:17" ht="25.5" x14ac:dyDescent="0.25">
      <c r="B46" s="181">
        <v>25</v>
      </c>
      <c r="C46" s="135" t="s">
        <v>209</v>
      </c>
      <c r="D46" s="119" t="s">
        <v>59</v>
      </c>
      <c r="E46" s="190">
        <v>2766.9346002759999</v>
      </c>
      <c r="F46" s="142">
        <f>'Labour cost Escalation Factor'!$J$10</f>
        <v>0.27984207704983549</v>
      </c>
      <c r="G46" s="176">
        <f t="shared" ref="G46:G51" si="7">E46*(1+F46)</f>
        <v>3541.2393258782922</v>
      </c>
      <c r="H46" s="115">
        <f t="shared" si="6"/>
        <v>3541.2393258782922</v>
      </c>
      <c r="I46" s="166" t="s">
        <v>763</v>
      </c>
      <c r="J46" s="96">
        <v>2</v>
      </c>
      <c r="K46" s="96">
        <f t="shared" si="3"/>
        <v>7082.4786517565844</v>
      </c>
      <c r="L46" s="96">
        <f t="shared" si="4"/>
        <v>7082.4786517565844</v>
      </c>
      <c r="M46" s="96">
        <v>1</v>
      </c>
      <c r="N46" s="96">
        <f t="shared" si="1"/>
        <v>3541.2393258782922</v>
      </c>
      <c r="O46" s="96">
        <f t="shared" si="2"/>
        <v>3541.2393258782922</v>
      </c>
    </row>
    <row r="47" spans="2:17" ht="51" x14ac:dyDescent="0.25">
      <c r="B47" s="407">
        <v>26</v>
      </c>
      <c r="C47" s="143" t="s">
        <v>204</v>
      </c>
      <c r="D47" s="191" t="s">
        <v>3</v>
      </c>
      <c r="E47" s="182">
        <v>2691.8529865149994</v>
      </c>
      <c r="F47" s="142">
        <f>'Labour cost Escalation Factor'!$J$10</f>
        <v>0.27984207704983549</v>
      </c>
      <c r="G47" s="176">
        <f t="shared" si="7"/>
        <v>3445.1467173741598</v>
      </c>
      <c r="H47" s="176">
        <f>G47*$H$1</f>
        <v>5167.7200760612395</v>
      </c>
      <c r="I47" s="166" t="s">
        <v>763</v>
      </c>
      <c r="J47" s="96">
        <v>46</v>
      </c>
      <c r="K47" s="96">
        <f t="shared" si="3"/>
        <v>158476.74899921136</v>
      </c>
      <c r="L47" s="96">
        <f t="shared" si="4"/>
        <v>237715.12349881703</v>
      </c>
      <c r="M47" s="96">
        <v>46</v>
      </c>
      <c r="N47" s="96">
        <f t="shared" si="1"/>
        <v>158476.74899921136</v>
      </c>
      <c r="O47" s="96">
        <f t="shared" si="2"/>
        <v>237715.12349881703</v>
      </c>
    </row>
    <row r="48" spans="2:17" ht="38.25" x14ac:dyDescent="0.25">
      <c r="B48" s="407"/>
      <c r="C48" s="135" t="s">
        <v>49</v>
      </c>
      <c r="D48" s="183" t="s">
        <v>50</v>
      </c>
      <c r="E48" s="190">
        <v>61.661938503000009</v>
      </c>
      <c r="F48" s="142">
        <f>'Labour cost Escalation Factor'!$J$10</f>
        <v>0.27984207704983549</v>
      </c>
      <c r="G48" s="176">
        <f t="shared" si="7"/>
        <v>78.917543448598764</v>
      </c>
      <c r="H48" s="115">
        <f>G48</f>
        <v>78.917543448598764</v>
      </c>
      <c r="I48" s="166" t="s">
        <v>763</v>
      </c>
      <c r="J48" s="96">
        <v>500</v>
      </c>
      <c r="K48" s="96">
        <f t="shared" si="3"/>
        <v>39458.771724299382</v>
      </c>
      <c r="L48" s="96">
        <f t="shared" si="4"/>
        <v>39458.771724299382</v>
      </c>
      <c r="M48" s="96">
        <v>500</v>
      </c>
      <c r="N48" s="96">
        <f t="shared" si="1"/>
        <v>39458.771724299382</v>
      </c>
      <c r="O48" s="96">
        <f t="shared" si="2"/>
        <v>39458.771724299382</v>
      </c>
    </row>
    <row r="49" spans="2:16" ht="25.5" x14ac:dyDescent="0.25">
      <c r="B49" s="407"/>
      <c r="C49" s="135" t="s">
        <v>51</v>
      </c>
      <c r="D49" s="183" t="s">
        <v>52</v>
      </c>
      <c r="E49" s="190">
        <v>16.080754415000001</v>
      </c>
      <c r="F49" s="142">
        <f>'Labour cost Escalation Factor'!$J$10</f>
        <v>0.27984207704983549</v>
      </c>
      <c r="G49" s="176">
        <f t="shared" si="7"/>
        <v>20.580826131021915</v>
      </c>
      <c r="H49" s="115">
        <f>G49</f>
        <v>20.580826131021915</v>
      </c>
      <c r="I49" s="166" t="s">
        <v>763</v>
      </c>
      <c r="J49" s="176">
        <v>92</v>
      </c>
      <c r="K49" s="96">
        <f t="shared" si="3"/>
        <v>1893.4360040540162</v>
      </c>
      <c r="L49" s="96">
        <f t="shared" si="4"/>
        <v>1893.4360040540162</v>
      </c>
      <c r="M49" s="176">
        <v>92</v>
      </c>
      <c r="N49" s="96">
        <f t="shared" si="1"/>
        <v>1893.4360040540162</v>
      </c>
      <c r="O49" s="96">
        <f t="shared" si="2"/>
        <v>1893.4360040540162</v>
      </c>
    </row>
    <row r="50" spans="2:16" ht="63.75" x14ac:dyDescent="0.25">
      <c r="B50" s="181">
        <v>27</v>
      </c>
      <c r="C50" s="135" t="s">
        <v>205</v>
      </c>
      <c r="D50" s="183" t="s">
        <v>206</v>
      </c>
      <c r="E50" s="190">
        <f>2615.64*1.2967</f>
        <v>3391.7003879999997</v>
      </c>
      <c r="F50" s="142">
        <f>'Labour cost Escalation Factor'!$J$10</f>
        <v>0.27984207704983549</v>
      </c>
      <c r="G50" s="176">
        <f t="shared" si="7"/>
        <v>4340.8408693086531</v>
      </c>
      <c r="H50" s="176">
        <f>G50*$H$1</f>
        <v>6511.2613039629796</v>
      </c>
      <c r="I50" s="166" t="s">
        <v>763</v>
      </c>
      <c r="J50" s="96">
        <v>20</v>
      </c>
      <c r="K50" s="96">
        <f t="shared" si="3"/>
        <v>86816.817386173061</v>
      </c>
      <c r="L50" s="96">
        <f t="shared" si="4"/>
        <v>130225.22607925959</v>
      </c>
      <c r="M50" s="96">
        <v>24</v>
      </c>
      <c r="N50" s="96">
        <f t="shared" si="1"/>
        <v>104180.18086340767</v>
      </c>
      <c r="O50" s="96">
        <f t="shared" si="2"/>
        <v>156270.27129511151</v>
      </c>
    </row>
    <row r="51" spans="2:16" ht="25.5" x14ac:dyDescent="0.25">
      <c r="B51" s="181">
        <v>28</v>
      </c>
      <c r="C51" s="135" t="s">
        <v>60</v>
      </c>
      <c r="D51" s="119" t="s">
        <v>11</v>
      </c>
      <c r="E51" s="190">
        <v>895.49395042800006</v>
      </c>
      <c r="F51" s="142">
        <f>'Labour cost Escalation Factor'!$J$10</f>
        <v>0.27984207704983549</v>
      </c>
      <c r="G51" s="176">
        <f t="shared" si="7"/>
        <v>1146.0908375013341</v>
      </c>
      <c r="H51" s="115">
        <f>G51</f>
        <v>1146.0908375013341</v>
      </c>
      <c r="I51" s="166" t="s">
        <v>763</v>
      </c>
      <c r="J51" s="96">
        <v>2</v>
      </c>
      <c r="K51" s="96">
        <f t="shared" si="3"/>
        <v>2292.1816750026683</v>
      </c>
      <c r="L51" s="96">
        <f t="shared" si="4"/>
        <v>2292.1816750026683</v>
      </c>
      <c r="M51" s="96">
        <v>1</v>
      </c>
      <c r="N51" s="96">
        <f t="shared" si="1"/>
        <v>1146.0908375013341</v>
      </c>
      <c r="O51" s="96">
        <f t="shared" si="2"/>
        <v>1146.0908375013341</v>
      </c>
    </row>
    <row r="52" spans="2:16" ht="51" x14ac:dyDescent="0.25">
      <c r="B52" s="181">
        <v>29</v>
      </c>
      <c r="C52" s="143" t="s">
        <v>662</v>
      </c>
      <c r="D52" s="191" t="s">
        <v>25</v>
      </c>
      <c r="E52" s="194">
        <v>24624</v>
      </c>
      <c r="F52" s="142">
        <f>'Labour cost Escalation Factor'!$J$10</f>
        <v>0.27984207704983549</v>
      </c>
      <c r="G52" s="176">
        <f>(E52*(1+F52))*0.9</f>
        <v>28363.348174747636</v>
      </c>
      <c r="H52" s="115">
        <f>G52*H1</f>
        <v>42545.022262121456</v>
      </c>
      <c r="I52" s="166" t="s">
        <v>763</v>
      </c>
      <c r="J52" s="96">
        <v>6</v>
      </c>
      <c r="K52" s="96">
        <f t="shared" si="3"/>
        <v>170180.08904848582</v>
      </c>
      <c r="L52" s="96">
        <f t="shared" si="4"/>
        <v>255270.13357272872</v>
      </c>
      <c r="M52" s="96">
        <v>3</v>
      </c>
      <c r="N52" s="96">
        <f t="shared" si="1"/>
        <v>85090.044524242912</v>
      </c>
      <c r="O52" s="96">
        <f t="shared" si="2"/>
        <v>127635.06678636436</v>
      </c>
    </row>
    <row r="53" spans="2:16" x14ac:dyDescent="0.25">
      <c r="B53" s="181">
        <v>30</v>
      </c>
      <c r="C53" s="143" t="s">
        <v>390</v>
      </c>
      <c r="D53" s="191" t="s">
        <v>50</v>
      </c>
      <c r="E53" s="182" t="s">
        <v>90</v>
      </c>
      <c r="F53" s="142"/>
      <c r="G53" s="176">
        <v>25</v>
      </c>
      <c r="H53" s="115">
        <f>G53</f>
        <v>25</v>
      </c>
      <c r="I53" s="166" t="s">
        <v>674</v>
      </c>
      <c r="J53" s="96">
        <f>40*20</f>
        <v>800</v>
      </c>
      <c r="K53" s="96">
        <f t="shared" si="3"/>
        <v>20000</v>
      </c>
      <c r="L53" s="96">
        <f t="shared" si="4"/>
        <v>20000</v>
      </c>
      <c r="M53" s="96">
        <f>40*20</f>
        <v>800</v>
      </c>
      <c r="N53" s="96">
        <f t="shared" si="1"/>
        <v>20000</v>
      </c>
      <c r="O53" s="96">
        <f t="shared" si="2"/>
        <v>20000</v>
      </c>
    </row>
    <row r="54" spans="2:16" x14ac:dyDescent="0.25">
      <c r="B54" s="181">
        <v>31</v>
      </c>
      <c r="C54" s="143" t="s">
        <v>661</v>
      </c>
      <c r="D54" s="191" t="s">
        <v>50</v>
      </c>
      <c r="E54" s="182" t="s">
        <v>90</v>
      </c>
      <c r="F54" s="142"/>
      <c r="G54" s="176">
        <v>30</v>
      </c>
      <c r="H54" s="115">
        <f>G54</f>
        <v>30</v>
      </c>
      <c r="I54" s="166" t="s">
        <v>674</v>
      </c>
      <c r="J54" s="96">
        <v>50</v>
      </c>
      <c r="K54" s="96">
        <f t="shared" si="3"/>
        <v>1500</v>
      </c>
      <c r="L54" s="96">
        <f t="shared" si="4"/>
        <v>1500</v>
      </c>
      <c r="M54" s="96">
        <v>25</v>
      </c>
      <c r="N54" s="96">
        <f t="shared" si="1"/>
        <v>750</v>
      </c>
      <c r="O54" s="96">
        <f t="shared" si="2"/>
        <v>750</v>
      </c>
    </row>
    <row r="55" spans="2:16" ht="25.5" x14ac:dyDescent="0.25">
      <c r="B55" s="181">
        <v>32</v>
      </c>
      <c r="C55" s="143" t="s">
        <v>392</v>
      </c>
      <c r="D55" s="191" t="s">
        <v>393</v>
      </c>
      <c r="E55" s="182" t="s">
        <v>90</v>
      </c>
      <c r="F55" s="195"/>
      <c r="G55" s="176">
        <f>('Labour cost Escalation Factor'!I5*3*4)</f>
        <v>2785.92</v>
      </c>
      <c r="H55" s="115">
        <f>G55</f>
        <v>2785.92</v>
      </c>
      <c r="I55" s="166" t="s">
        <v>394</v>
      </c>
      <c r="J55" s="96">
        <v>1</v>
      </c>
      <c r="K55" s="96">
        <f t="shared" si="3"/>
        <v>2785.92</v>
      </c>
      <c r="L55" s="96">
        <f t="shared" si="4"/>
        <v>2785.92</v>
      </c>
      <c r="M55" s="96">
        <v>1</v>
      </c>
      <c r="N55" s="96">
        <f t="shared" si="1"/>
        <v>2785.92</v>
      </c>
      <c r="O55" s="96">
        <f t="shared" si="2"/>
        <v>2785.92</v>
      </c>
    </row>
    <row r="56" spans="2:16" ht="140.25" x14ac:dyDescent="0.25">
      <c r="B56" s="181">
        <v>33</v>
      </c>
      <c r="C56" s="143" t="s">
        <v>663</v>
      </c>
      <c r="D56" s="191" t="s">
        <v>50</v>
      </c>
      <c r="E56" s="241" t="s">
        <v>841</v>
      </c>
      <c r="F56" s="142"/>
      <c r="G56" s="241" t="s">
        <v>842</v>
      </c>
      <c r="H56" s="176">
        <f>((1966.79*1.5)/30.5)+((5330.33+5912.027+11645.99+6253.3)/30.5)</f>
        <v>1052.1912131147542</v>
      </c>
      <c r="I56" s="166" t="s">
        <v>704</v>
      </c>
      <c r="J56" s="96">
        <v>350</v>
      </c>
      <c r="K56" s="96">
        <f>1019.94*J56</f>
        <v>356979</v>
      </c>
      <c r="L56" s="96">
        <f t="shared" si="4"/>
        <v>368266.92459016398</v>
      </c>
      <c r="M56" s="96">
        <v>350</v>
      </c>
      <c r="N56" s="96">
        <f>1019.94*M56</f>
        <v>356979</v>
      </c>
      <c r="O56" s="96">
        <f t="shared" si="2"/>
        <v>368266.92459016398</v>
      </c>
    </row>
    <row r="57" spans="2:16" x14ac:dyDescent="0.25">
      <c r="B57" s="240">
        <v>34</v>
      </c>
      <c r="C57" s="143" t="s">
        <v>839</v>
      </c>
      <c r="D57" s="191" t="s">
        <v>157</v>
      </c>
      <c r="E57" s="182" t="s">
        <v>90</v>
      </c>
      <c r="F57" s="142"/>
      <c r="G57" s="176">
        <f>'DSS labour'!Q29</f>
        <v>22546.137864792683</v>
      </c>
      <c r="H57" s="176">
        <f>'DSS labour'!R29</f>
        <v>23083.356389378088</v>
      </c>
      <c r="I57" s="239" t="s">
        <v>840</v>
      </c>
      <c r="J57" s="176">
        <v>1</v>
      </c>
      <c r="K57" s="96">
        <f t="shared" si="3"/>
        <v>22546.137864792683</v>
      </c>
      <c r="L57" s="96">
        <f t="shared" si="4"/>
        <v>23083.356389378088</v>
      </c>
      <c r="M57" s="176">
        <v>1</v>
      </c>
      <c r="N57" s="96">
        <f t="shared" si="1"/>
        <v>22546.137864792683</v>
      </c>
      <c r="O57" s="96">
        <f t="shared" si="2"/>
        <v>23083.356389378088</v>
      </c>
    </row>
    <row r="58" spans="2:16" x14ac:dyDescent="0.25">
      <c r="B58" s="406" t="s">
        <v>108</v>
      </c>
      <c r="C58" s="406"/>
      <c r="D58" s="406"/>
      <c r="E58" s="406"/>
      <c r="F58" s="406"/>
      <c r="G58" s="406"/>
      <c r="H58" s="176"/>
      <c r="I58" s="166"/>
      <c r="J58" s="121"/>
      <c r="K58" s="121">
        <f>SUM(K6:K57)</f>
        <v>1947565.9943108752</v>
      </c>
      <c r="L58" s="121">
        <f>SUM(L6:L57)</f>
        <v>2270279.1574573885</v>
      </c>
      <c r="M58" s="121"/>
      <c r="N58" s="121">
        <f>SUM(N6:N57)</f>
        <v>1855037.291104411</v>
      </c>
      <c r="O58" s="121">
        <f>SUM(O6:O57)</f>
        <v>2132944.4966566428</v>
      </c>
    </row>
    <row r="59" spans="2:16" x14ac:dyDescent="0.25">
      <c r="B59" s="196"/>
      <c r="C59" s="197"/>
      <c r="D59" s="196"/>
      <c r="E59" s="198"/>
      <c r="F59" s="199"/>
      <c r="G59" s="196"/>
      <c r="H59" s="186"/>
    </row>
    <row r="60" spans="2:16" x14ac:dyDescent="0.25">
      <c r="B60" s="196"/>
      <c r="C60" s="197"/>
      <c r="D60" s="196"/>
      <c r="E60" s="198"/>
      <c r="F60" s="199"/>
      <c r="G60" s="196"/>
      <c r="H60" s="186"/>
      <c r="K60" s="7">
        <v>1200</v>
      </c>
    </row>
    <row r="61" spans="2:16" x14ac:dyDescent="0.25">
      <c r="B61" s="196"/>
      <c r="C61" s="197"/>
      <c r="D61" s="196"/>
      <c r="E61" s="198"/>
      <c r="F61" s="199"/>
      <c r="G61" s="196"/>
      <c r="H61" s="186"/>
      <c r="K61" s="7">
        <v>500</v>
      </c>
    </row>
    <row r="62" spans="2:16" x14ac:dyDescent="0.25">
      <c r="K62" s="7">
        <f>26500-3500-2000</f>
        <v>21000</v>
      </c>
    </row>
    <row r="63" spans="2:16" x14ac:dyDescent="0.25">
      <c r="K63" s="7">
        <v>1200</v>
      </c>
    </row>
    <row r="64" spans="2:16" x14ac:dyDescent="0.25">
      <c r="K64" s="7">
        <v>1500</v>
      </c>
      <c r="O64" s="7">
        <f>26500-3500-2000-3500-1250-3000</f>
        <v>13250</v>
      </c>
      <c r="P64" s="7">
        <v>1200</v>
      </c>
    </row>
    <row r="65" spans="11:16" x14ac:dyDescent="0.25">
      <c r="K65" s="7">
        <v>3200</v>
      </c>
      <c r="O65" s="7">
        <f>26500-3500-2000-3500-1250-3000</f>
        <v>13250</v>
      </c>
      <c r="P65" s="7">
        <v>1500</v>
      </c>
    </row>
    <row r="66" spans="11:16" x14ac:dyDescent="0.25">
      <c r="K66" s="7">
        <v>5500</v>
      </c>
      <c r="O66" s="7">
        <f>26500-3500-2000</f>
        <v>21000</v>
      </c>
      <c r="P66" s="7">
        <v>3200</v>
      </c>
    </row>
    <row r="67" spans="11:16" x14ac:dyDescent="0.25">
      <c r="K67" s="7">
        <v>3200</v>
      </c>
      <c r="L67" s="7">
        <v>1200</v>
      </c>
      <c r="M67" s="7">
        <v>1200</v>
      </c>
      <c r="O67" s="7">
        <f>SUM(P64:P72)*4</f>
        <v>85200</v>
      </c>
      <c r="P67" s="7">
        <v>5500</v>
      </c>
    </row>
    <row r="68" spans="11:16" x14ac:dyDescent="0.25">
      <c r="K68" s="7">
        <v>1500</v>
      </c>
      <c r="L68" s="7">
        <v>2000</v>
      </c>
      <c r="M68" s="7">
        <v>2000</v>
      </c>
      <c r="O68" s="7">
        <f>SUM(O64:O67)</f>
        <v>132700</v>
      </c>
      <c r="P68" s="7">
        <v>3200</v>
      </c>
    </row>
    <row r="69" spans="11:16" x14ac:dyDescent="0.25">
      <c r="K69" s="7">
        <f>26500-3500-2000-3500</f>
        <v>17500</v>
      </c>
      <c r="L69" s="7">
        <v>2000</v>
      </c>
      <c r="M69" s="7">
        <v>2000</v>
      </c>
      <c r="O69" s="7">
        <f>O68+(2000*36)</f>
        <v>204700</v>
      </c>
      <c r="P69" s="7">
        <v>1500</v>
      </c>
    </row>
    <row r="70" spans="11:16" x14ac:dyDescent="0.25">
      <c r="K70" s="7">
        <v>2500</v>
      </c>
      <c r="L70" s="7">
        <v>4000</v>
      </c>
      <c r="M70" s="7">
        <v>4000</v>
      </c>
      <c r="O70" s="7">
        <f>O69/1000</f>
        <v>204.7</v>
      </c>
      <c r="P70" s="7">
        <v>1200</v>
      </c>
    </row>
    <row r="71" spans="11:16" x14ac:dyDescent="0.25">
      <c r="K71" s="7">
        <f>5500*2</f>
        <v>11000</v>
      </c>
      <c r="L71" s="7">
        <v>700</v>
      </c>
      <c r="M71" s="7">
        <v>700</v>
      </c>
      <c r="P71" s="7">
        <v>2000</v>
      </c>
    </row>
    <row r="72" spans="11:16" x14ac:dyDescent="0.25">
      <c r="K72" s="7">
        <f>26500-3500-2000-3500-1250-3000</f>
        <v>13250</v>
      </c>
      <c r="L72" s="7">
        <v>5000</v>
      </c>
      <c r="M72" s="7">
        <f>L72/2</f>
        <v>2500</v>
      </c>
      <c r="P72" s="7">
        <v>2000</v>
      </c>
    </row>
    <row r="73" spans="11:16" x14ac:dyDescent="0.25">
      <c r="K73" s="7">
        <f>SUM(K60:K72)</f>
        <v>83050</v>
      </c>
    </row>
    <row r="74" spans="11:16" x14ac:dyDescent="0.25">
      <c r="K74" s="7">
        <f>K73*2</f>
        <v>166100</v>
      </c>
      <c r="L74" s="7">
        <f>SUM(L60:L72)</f>
        <v>14900</v>
      </c>
      <c r="M74" s="7">
        <f>SUM(M60:M72)</f>
        <v>12400</v>
      </c>
    </row>
    <row r="75" spans="11:16" x14ac:dyDescent="0.25">
      <c r="L75" s="7">
        <f>K74+L74</f>
        <v>181000</v>
      </c>
      <c r="M75" s="7">
        <f>K74+M74</f>
        <v>178500</v>
      </c>
    </row>
    <row r="76" spans="11:16" x14ac:dyDescent="0.25">
      <c r="L76" s="7">
        <f>L75/1000</f>
        <v>181</v>
      </c>
      <c r="M76" s="7">
        <f>M75/1000</f>
        <v>178.5</v>
      </c>
    </row>
    <row r="77" spans="11:16" x14ac:dyDescent="0.25">
      <c r="L77" s="7">
        <f>L76*1.1</f>
        <v>199.10000000000002</v>
      </c>
      <c r="M77" s="7">
        <f>M76*1.1</f>
        <v>196.35000000000002</v>
      </c>
    </row>
  </sheetData>
  <mergeCells count="19">
    <mergeCell ref="B58:G58"/>
    <mergeCell ref="B3:B4"/>
    <mergeCell ref="C3:C4"/>
    <mergeCell ref="D3:D4"/>
    <mergeCell ref="E3:E4"/>
    <mergeCell ref="F3:F4"/>
    <mergeCell ref="G3:H3"/>
    <mergeCell ref="B16:B18"/>
    <mergeCell ref="B19:B21"/>
    <mergeCell ref="B47:B49"/>
    <mergeCell ref="B22:B24"/>
    <mergeCell ref="B31:B33"/>
    <mergeCell ref="B34:B36"/>
    <mergeCell ref="B38:B42"/>
    <mergeCell ref="B25:B27"/>
    <mergeCell ref="J3:L3"/>
    <mergeCell ref="M3:O3"/>
    <mergeCell ref="B2:D2"/>
    <mergeCell ref="I3:I4"/>
  </mergeCells>
  <printOptions horizontalCentered="1"/>
  <pageMargins left="0.59" right="0.56000000000000005" top="0.98" bottom="0.48" header="0.34" footer="0.3"/>
  <pageSetup paperSize="9" scale="70" orientation="landscape" r:id="rId1"/>
  <headerFooter>
    <oddHeader>&amp;L&amp;G&amp;C&amp;"-,Bold"&amp;20JBVNL Cost Data Book&amp;"-,Regular"&amp;11
&amp;"-,Bold Italic"&amp;14 33/11KV PSS Labour Cost Analysis&amp;R
&amp;G</oddHeader>
    <oddFooter>&amp;L&amp;"-,Bold"&amp;14 2016-17&amp;RPage &amp;P of &amp;N</oddFooter>
  </headerFooter>
  <colBreaks count="1" manualBreakCount="1">
    <brk id="9" min="1" max="58"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B1:AA32"/>
  <sheetViews>
    <sheetView zoomScaleNormal="100" zoomScaleSheetLayoutView="70" workbookViewId="0">
      <pane xSplit="4" ySplit="5" topLeftCell="E6" activePane="bottomRight" state="frozen"/>
      <selection activeCell="C7" sqref="C7"/>
      <selection pane="topRight" activeCell="C7" sqref="C7"/>
      <selection pane="bottomLeft" activeCell="C7" sqref="C7"/>
      <selection pane="bottomRight" activeCell="E6" sqref="E6"/>
    </sheetView>
  </sheetViews>
  <sheetFormatPr defaultRowHeight="15" x14ac:dyDescent="0.25"/>
  <cols>
    <col min="1" max="1" width="4.28515625" style="7" customWidth="1"/>
    <col min="2" max="2" width="6.28515625" style="15" bestFit="1" customWidth="1"/>
    <col min="3" max="3" width="58.7109375" style="136" customWidth="1"/>
    <col min="4" max="4" width="10.7109375" style="16" customWidth="1"/>
    <col min="5" max="5" width="10.85546875" style="9" customWidth="1"/>
    <col min="6" max="6" width="27.140625" style="17" customWidth="1"/>
    <col min="7" max="7" width="12" style="15" customWidth="1"/>
    <col min="8" max="8" width="10.140625" style="7" customWidth="1"/>
    <col min="9" max="9" width="34" style="66" customWidth="1"/>
    <col min="10" max="10" width="5.7109375" style="7" bestFit="1" customWidth="1"/>
    <col min="11" max="12" width="11.42578125" style="7" customWidth="1"/>
    <col min="13" max="13" width="5.28515625" style="7" customWidth="1"/>
    <col min="14" max="15" width="11.42578125" style="7" customWidth="1"/>
    <col min="16" max="16" width="5.28515625" style="7" customWidth="1"/>
    <col min="17" max="18" width="11.42578125" style="7" customWidth="1"/>
    <col min="19" max="19" width="5.28515625" style="7" customWidth="1"/>
    <col min="20" max="21" width="11.42578125" style="7" customWidth="1"/>
    <col min="22" max="22" width="5.28515625" style="7" customWidth="1"/>
    <col min="23" max="24" width="11.42578125" style="7" customWidth="1"/>
    <col min="25" max="25" width="5.28515625" style="7" customWidth="1"/>
    <col min="26" max="27" width="11.42578125" style="7" customWidth="1"/>
    <col min="28" max="16384" width="9.140625" style="7"/>
  </cols>
  <sheetData>
    <row r="1" spans="2:27" x14ac:dyDescent="0.25">
      <c r="C1"/>
      <c r="D1"/>
      <c r="E1"/>
      <c r="F1"/>
      <c r="H1" s="7">
        <v>1.5</v>
      </c>
    </row>
    <row r="2" spans="2:27" ht="39.75" hidden="1" customHeight="1" x14ac:dyDescent="0.25">
      <c r="B2" s="368" t="s">
        <v>514</v>
      </c>
      <c r="C2" s="368"/>
      <c r="D2" s="368"/>
      <c r="E2" s="90"/>
      <c r="F2" s="90"/>
      <c r="G2" s="90"/>
      <c r="H2" s="90"/>
      <c r="I2" s="67"/>
    </row>
    <row r="3" spans="2:27" s="10" customFormat="1" ht="72" customHeight="1" x14ac:dyDescent="0.25">
      <c r="B3" s="375" t="s">
        <v>1</v>
      </c>
      <c r="C3" s="377" t="s">
        <v>2</v>
      </c>
      <c r="D3" s="375" t="s">
        <v>0</v>
      </c>
      <c r="E3" s="379" t="s">
        <v>211</v>
      </c>
      <c r="F3" s="379" t="s">
        <v>72</v>
      </c>
      <c r="G3" s="367" t="s">
        <v>210</v>
      </c>
      <c r="H3" s="367"/>
      <c r="I3" s="381" t="s">
        <v>349</v>
      </c>
      <c r="J3" s="367" t="s">
        <v>307</v>
      </c>
      <c r="K3" s="367"/>
      <c r="L3" s="367"/>
      <c r="M3" s="367" t="s">
        <v>327</v>
      </c>
      <c r="N3" s="367"/>
      <c r="O3" s="367"/>
      <c r="P3" s="367" t="s">
        <v>330</v>
      </c>
      <c r="Q3" s="367"/>
      <c r="R3" s="367"/>
      <c r="S3" s="367" t="s">
        <v>333</v>
      </c>
      <c r="T3" s="367"/>
      <c r="U3" s="367"/>
      <c r="V3" s="367" t="s">
        <v>513</v>
      </c>
      <c r="W3" s="367"/>
      <c r="X3" s="367"/>
      <c r="Y3" s="367" t="s">
        <v>371</v>
      </c>
      <c r="Z3" s="367"/>
      <c r="AA3" s="367"/>
    </row>
    <row r="4" spans="2:27" s="10" customFormat="1" ht="25.5" x14ac:dyDescent="0.25">
      <c r="B4" s="376"/>
      <c r="C4" s="378"/>
      <c r="D4" s="376"/>
      <c r="E4" s="380"/>
      <c r="F4" s="380"/>
      <c r="G4" s="74" t="s">
        <v>144</v>
      </c>
      <c r="H4" s="74" t="s">
        <v>145</v>
      </c>
      <c r="I4" s="382"/>
      <c r="J4" s="74" t="s">
        <v>107</v>
      </c>
      <c r="K4" s="74" t="s">
        <v>507</v>
      </c>
      <c r="L4" s="74" t="s">
        <v>508</v>
      </c>
      <c r="M4" s="74" t="s">
        <v>107</v>
      </c>
      <c r="N4" s="74" t="s">
        <v>507</v>
      </c>
      <c r="O4" s="74" t="s">
        <v>508</v>
      </c>
      <c r="P4" s="74" t="s">
        <v>107</v>
      </c>
      <c r="Q4" s="74" t="s">
        <v>507</v>
      </c>
      <c r="R4" s="74" t="s">
        <v>508</v>
      </c>
      <c r="S4" s="74" t="s">
        <v>107</v>
      </c>
      <c r="T4" s="74" t="s">
        <v>507</v>
      </c>
      <c r="U4" s="74" t="s">
        <v>508</v>
      </c>
      <c r="V4" s="74" t="s">
        <v>107</v>
      </c>
      <c r="W4" s="74" t="s">
        <v>507</v>
      </c>
      <c r="X4" s="74" t="s">
        <v>508</v>
      </c>
      <c r="Y4" s="74" t="s">
        <v>107</v>
      </c>
      <c r="Z4" s="74" t="s">
        <v>507</v>
      </c>
      <c r="AA4" s="74" t="s">
        <v>508</v>
      </c>
    </row>
    <row r="5" spans="2:27" x14ac:dyDescent="0.25">
      <c r="B5" s="18" t="s">
        <v>74</v>
      </c>
      <c r="C5" s="132" t="s">
        <v>75</v>
      </c>
      <c r="D5" s="31" t="s">
        <v>76</v>
      </c>
      <c r="E5" s="78" t="s">
        <v>77</v>
      </c>
      <c r="F5" s="78" t="s">
        <v>78</v>
      </c>
      <c r="G5" s="149" t="s">
        <v>664</v>
      </c>
      <c r="H5" s="149" t="s">
        <v>665</v>
      </c>
      <c r="I5" s="91" t="s">
        <v>93</v>
      </c>
      <c r="J5" s="78" t="s">
        <v>94</v>
      </c>
      <c r="K5" s="78" t="s">
        <v>95</v>
      </c>
      <c r="L5" s="78" t="s">
        <v>96</v>
      </c>
      <c r="M5" s="78" t="s">
        <v>97</v>
      </c>
      <c r="N5" s="78" t="s">
        <v>98</v>
      </c>
      <c r="O5" s="78" t="s">
        <v>99</v>
      </c>
      <c r="P5" s="78" t="s">
        <v>100</v>
      </c>
      <c r="Q5" s="78" t="s">
        <v>101</v>
      </c>
      <c r="R5" s="78" t="s">
        <v>102</v>
      </c>
      <c r="S5" s="78" t="s">
        <v>103</v>
      </c>
      <c r="T5" s="78" t="s">
        <v>109</v>
      </c>
      <c r="U5" s="78" t="s">
        <v>110</v>
      </c>
      <c r="V5" s="78" t="s">
        <v>518</v>
      </c>
      <c r="W5" s="78" t="s">
        <v>519</v>
      </c>
      <c r="X5" s="78" t="s">
        <v>520</v>
      </c>
      <c r="Y5" s="78" t="s">
        <v>521</v>
      </c>
      <c r="Z5" s="78" t="s">
        <v>517</v>
      </c>
      <c r="AA5" s="78" t="s">
        <v>522</v>
      </c>
    </row>
    <row r="6" spans="2:27" ht="25.5" x14ac:dyDescent="0.25">
      <c r="B6" s="181">
        <v>1</v>
      </c>
      <c r="C6" s="135" t="s">
        <v>170</v>
      </c>
      <c r="D6" s="119" t="s">
        <v>3</v>
      </c>
      <c r="E6" s="182">
        <v>178.46081600000002</v>
      </c>
      <c r="F6" s="142">
        <f>'Labour cost Escalation Factor'!$J$10</f>
        <v>0.27984207704983549</v>
      </c>
      <c r="G6" s="176">
        <f>E6*(1+F6)</f>
        <v>228.40166142144855</v>
      </c>
      <c r="H6" s="176">
        <f>G6*$H$1</f>
        <v>342.60249213217281</v>
      </c>
      <c r="I6" s="166" t="s">
        <v>763</v>
      </c>
      <c r="J6" s="96">
        <v>2</v>
      </c>
      <c r="K6" s="96">
        <f>$G6*J6</f>
        <v>456.8033228428971</v>
      </c>
      <c r="L6" s="96">
        <f>$H6*J6</f>
        <v>685.20498426434563</v>
      </c>
      <c r="M6" s="96">
        <v>2</v>
      </c>
      <c r="N6" s="96">
        <f>$G6*M6</f>
        <v>456.8033228428971</v>
      </c>
      <c r="O6" s="96">
        <f>$H6*M6</f>
        <v>685.20498426434563</v>
      </c>
      <c r="P6" s="96">
        <v>2</v>
      </c>
      <c r="Q6" s="96">
        <f>$G6*P6</f>
        <v>456.8033228428971</v>
      </c>
      <c r="R6" s="96">
        <f>$H6*P6</f>
        <v>685.20498426434563</v>
      </c>
      <c r="S6" s="96">
        <v>2</v>
      </c>
      <c r="T6" s="96">
        <f>$G6*S6</f>
        <v>456.8033228428971</v>
      </c>
      <c r="U6" s="96">
        <f>$H6*S6</f>
        <v>685.20498426434563</v>
      </c>
      <c r="V6" s="96">
        <v>2</v>
      </c>
      <c r="W6" s="96">
        <f>$G6*V6</f>
        <v>456.8033228428971</v>
      </c>
      <c r="X6" s="96">
        <f>$H6*V6</f>
        <v>685.20498426434563</v>
      </c>
      <c r="Y6" s="96">
        <v>2</v>
      </c>
      <c r="Z6" s="96">
        <f>$G6*Y6</f>
        <v>456.8033228428971</v>
      </c>
      <c r="AA6" s="96">
        <f>$H6*Y6</f>
        <v>685.20498426434563</v>
      </c>
    </row>
    <row r="7" spans="2:27" x14ac:dyDescent="0.25">
      <c r="B7" s="392">
        <v>2</v>
      </c>
      <c r="C7" s="135" t="s">
        <v>117</v>
      </c>
      <c r="D7" s="119"/>
      <c r="E7" s="115"/>
      <c r="F7" s="142"/>
      <c r="G7" s="176"/>
      <c r="H7" s="176"/>
      <c r="I7" s="69"/>
      <c r="J7" s="96"/>
      <c r="K7" s="96">
        <f t="shared" ref="K7:K28" si="0">$G7*J7</f>
        <v>0</v>
      </c>
      <c r="L7" s="96">
        <f t="shared" ref="L7:L28" si="1">$H7*J7</f>
        <v>0</v>
      </c>
      <c r="M7" s="96"/>
      <c r="N7" s="96">
        <f t="shared" ref="N7:N28" si="2">$G7*M7</f>
        <v>0</v>
      </c>
      <c r="O7" s="96">
        <f t="shared" ref="O7:O28" si="3">$H7*M7</f>
        <v>0</v>
      </c>
      <c r="P7" s="96"/>
      <c r="Q7" s="96">
        <f t="shared" ref="Q7:Q28" si="4">$G7*P7</f>
        <v>0</v>
      </c>
      <c r="R7" s="96">
        <f t="shared" ref="R7:R28" si="5">$H7*P7</f>
        <v>0</v>
      </c>
      <c r="S7" s="96"/>
      <c r="T7" s="96">
        <f t="shared" ref="T7:T28" si="6">$G7*S7</f>
        <v>0</v>
      </c>
      <c r="U7" s="96">
        <f t="shared" ref="U7:U28" si="7">$H7*S7</f>
        <v>0</v>
      </c>
      <c r="V7" s="96"/>
      <c r="W7" s="96">
        <f t="shared" ref="W7:W28" si="8">$G7*V7</f>
        <v>0</v>
      </c>
      <c r="X7" s="96">
        <f t="shared" ref="X7:X28" si="9">$H7*V7</f>
        <v>0</v>
      </c>
      <c r="Y7" s="96"/>
      <c r="Z7" s="96">
        <f t="shared" ref="Z7:Z28" si="10">$G7*Y7</f>
        <v>0</v>
      </c>
      <c r="AA7" s="96">
        <f t="shared" ref="AA7:AA28" si="11">$H7*Y7</f>
        <v>0</v>
      </c>
    </row>
    <row r="8" spans="2:27" ht="25.5" x14ac:dyDescent="0.25">
      <c r="B8" s="393"/>
      <c r="C8" s="135" t="s">
        <v>116</v>
      </c>
      <c r="D8" s="119" t="s">
        <v>4</v>
      </c>
      <c r="E8" s="115">
        <v>288.27813346200003</v>
      </c>
      <c r="F8" s="142">
        <f>'Labour cost Escalation Factor'!$J$10</f>
        <v>0.27984207704983549</v>
      </c>
      <c r="G8" s="176">
        <f>E8*(1+F8)</f>
        <v>368.95048509805582</v>
      </c>
      <c r="H8" s="115">
        <f>G8</f>
        <v>368.95048509805582</v>
      </c>
      <c r="I8" s="166" t="s">
        <v>763</v>
      </c>
      <c r="J8" s="96"/>
      <c r="K8" s="96">
        <f t="shared" si="0"/>
        <v>0</v>
      </c>
      <c r="L8" s="96">
        <f t="shared" si="1"/>
        <v>0</v>
      </c>
      <c r="M8" s="96"/>
      <c r="N8" s="96">
        <f t="shared" si="2"/>
        <v>0</v>
      </c>
      <c r="O8" s="96">
        <f t="shared" si="3"/>
        <v>0</v>
      </c>
      <c r="P8" s="96"/>
      <c r="Q8" s="96">
        <f t="shared" si="4"/>
        <v>0</v>
      </c>
      <c r="R8" s="96">
        <f t="shared" si="5"/>
        <v>0</v>
      </c>
      <c r="S8" s="96"/>
      <c r="T8" s="96">
        <f t="shared" si="6"/>
        <v>0</v>
      </c>
      <c r="U8" s="96">
        <f t="shared" si="7"/>
        <v>0</v>
      </c>
      <c r="V8" s="96"/>
      <c r="W8" s="96">
        <f t="shared" si="8"/>
        <v>0</v>
      </c>
      <c r="X8" s="96">
        <f t="shared" si="9"/>
        <v>0</v>
      </c>
      <c r="Y8" s="96"/>
      <c r="Z8" s="96">
        <f t="shared" si="10"/>
        <v>0</v>
      </c>
      <c r="AA8" s="96">
        <f t="shared" si="11"/>
        <v>0</v>
      </c>
    </row>
    <row r="9" spans="2:27" ht="25.5" x14ac:dyDescent="0.25">
      <c r="B9" s="393"/>
      <c r="C9" s="135" t="s">
        <v>115</v>
      </c>
      <c r="D9" s="119" t="s">
        <v>14</v>
      </c>
      <c r="E9" s="115">
        <v>573.11155709499997</v>
      </c>
      <c r="F9" s="142">
        <f>'Labour cost Escalation Factor'!$J$10</f>
        <v>0.27984207704983549</v>
      </c>
      <c r="G9" s="176">
        <f>E9*(1+F9)</f>
        <v>733.49228561373013</v>
      </c>
      <c r="H9" s="115">
        <f>G9</f>
        <v>733.49228561373013</v>
      </c>
      <c r="I9" s="166" t="s">
        <v>763</v>
      </c>
      <c r="J9" s="96">
        <v>1</v>
      </c>
      <c r="K9" s="96">
        <f t="shared" si="0"/>
        <v>733.49228561373013</v>
      </c>
      <c r="L9" s="96">
        <f t="shared" si="1"/>
        <v>733.49228561373013</v>
      </c>
      <c r="M9" s="96">
        <v>1</v>
      </c>
      <c r="N9" s="96">
        <f t="shared" si="2"/>
        <v>733.49228561373013</v>
      </c>
      <c r="O9" s="96">
        <f t="shared" si="3"/>
        <v>733.49228561373013</v>
      </c>
      <c r="P9" s="96">
        <v>1</v>
      </c>
      <c r="Q9" s="96">
        <f t="shared" si="4"/>
        <v>733.49228561373013</v>
      </c>
      <c r="R9" s="96">
        <f t="shared" si="5"/>
        <v>733.49228561373013</v>
      </c>
      <c r="S9" s="96">
        <v>1</v>
      </c>
      <c r="T9" s="96">
        <f t="shared" si="6"/>
        <v>733.49228561373013</v>
      </c>
      <c r="U9" s="96">
        <f t="shared" si="7"/>
        <v>733.49228561373013</v>
      </c>
      <c r="V9" s="96">
        <v>1</v>
      </c>
      <c r="W9" s="96">
        <f t="shared" si="8"/>
        <v>733.49228561373013</v>
      </c>
      <c r="X9" s="96">
        <f t="shared" si="9"/>
        <v>733.49228561373013</v>
      </c>
      <c r="Y9" s="96">
        <v>1</v>
      </c>
      <c r="Z9" s="96">
        <f t="shared" si="10"/>
        <v>733.49228561373013</v>
      </c>
      <c r="AA9" s="96">
        <f t="shared" si="11"/>
        <v>733.49228561373013</v>
      </c>
    </row>
    <row r="10" spans="2:27" x14ac:dyDescent="0.25">
      <c r="B10" s="393"/>
      <c r="C10" s="135" t="s">
        <v>200</v>
      </c>
      <c r="D10" s="119" t="s">
        <v>37</v>
      </c>
      <c r="E10" s="115" t="s">
        <v>90</v>
      </c>
      <c r="F10" s="142"/>
      <c r="G10" s="176">
        <f>G8*3</f>
        <v>1106.8514552941674</v>
      </c>
      <c r="H10" s="115">
        <f>G10</f>
        <v>1106.8514552941674</v>
      </c>
      <c r="I10" s="68" t="s">
        <v>698</v>
      </c>
      <c r="J10" s="96"/>
      <c r="K10" s="96">
        <f t="shared" si="0"/>
        <v>0</v>
      </c>
      <c r="L10" s="96">
        <f t="shared" si="1"/>
        <v>0</v>
      </c>
      <c r="M10" s="96"/>
      <c r="N10" s="96">
        <f t="shared" si="2"/>
        <v>0</v>
      </c>
      <c r="O10" s="96">
        <f t="shared" si="3"/>
        <v>0</v>
      </c>
      <c r="P10" s="96"/>
      <c r="Q10" s="96">
        <f t="shared" si="4"/>
        <v>0</v>
      </c>
      <c r="R10" s="96">
        <f t="shared" si="5"/>
        <v>0</v>
      </c>
      <c r="S10" s="96"/>
      <c r="T10" s="96">
        <f t="shared" si="6"/>
        <v>0</v>
      </c>
      <c r="U10" s="96">
        <f t="shared" si="7"/>
        <v>0</v>
      </c>
      <c r="V10" s="96"/>
      <c r="W10" s="96">
        <f t="shared" si="8"/>
        <v>0</v>
      </c>
      <c r="X10" s="96">
        <f t="shared" si="9"/>
        <v>0</v>
      </c>
      <c r="Y10" s="96"/>
      <c r="Z10" s="96">
        <f t="shared" si="10"/>
        <v>0</v>
      </c>
      <c r="AA10" s="96">
        <f t="shared" si="11"/>
        <v>0</v>
      </c>
    </row>
    <row r="11" spans="2:27" x14ac:dyDescent="0.25">
      <c r="B11" s="394"/>
      <c r="C11" s="135" t="s">
        <v>201</v>
      </c>
      <c r="D11" s="119" t="s">
        <v>91</v>
      </c>
      <c r="E11" s="115" t="s">
        <v>90</v>
      </c>
      <c r="F11" s="142"/>
      <c r="G11" s="176">
        <f>G8*4</f>
        <v>1475.8019403922233</v>
      </c>
      <c r="H11" s="115">
        <f>G11</f>
        <v>1475.8019403922233</v>
      </c>
      <c r="I11" s="68" t="s">
        <v>699</v>
      </c>
      <c r="J11" s="96"/>
      <c r="K11" s="96">
        <f t="shared" si="0"/>
        <v>0</v>
      </c>
      <c r="L11" s="96">
        <f t="shared" si="1"/>
        <v>0</v>
      </c>
      <c r="M11" s="96"/>
      <c r="N11" s="96">
        <f t="shared" si="2"/>
        <v>0</v>
      </c>
      <c r="O11" s="96">
        <f t="shared" si="3"/>
        <v>0</v>
      </c>
      <c r="P11" s="96"/>
      <c r="Q11" s="96">
        <f t="shared" si="4"/>
        <v>0</v>
      </c>
      <c r="R11" s="96">
        <f t="shared" si="5"/>
        <v>0</v>
      </c>
      <c r="S11" s="96"/>
      <c r="T11" s="96">
        <f t="shared" si="6"/>
        <v>0</v>
      </c>
      <c r="U11" s="96">
        <f t="shared" si="7"/>
        <v>0</v>
      </c>
      <c r="V11" s="96"/>
      <c r="W11" s="96">
        <f t="shared" si="8"/>
        <v>0</v>
      </c>
      <c r="X11" s="96">
        <f t="shared" si="9"/>
        <v>0</v>
      </c>
      <c r="Y11" s="96"/>
      <c r="Z11" s="96">
        <f t="shared" si="10"/>
        <v>0</v>
      </c>
      <c r="AA11" s="96">
        <f t="shared" si="11"/>
        <v>0</v>
      </c>
    </row>
    <row r="12" spans="2:27" ht="63.75" x14ac:dyDescent="0.25">
      <c r="B12" s="200">
        <v>3</v>
      </c>
      <c r="C12" s="143" t="s">
        <v>364</v>
      </c>
      <c r="D12" s="180" t="s">
        <v>350</v>
      </c>
      <c r="E12" s="115">
        <f>1925.054048324/2</f>
        <v>962.52702416199998</v>
      </c>
      <c r="F12" s="142"/>
      <c r="G12" s="115">
        <f>4428.8*0.0283*20</f>
        <v>2506.7008000000001</v>
      </c>
      <c r="H12" s="115">
        <f>G12</f>
        <v>2506.7008000000001</v>
      </c>
      <c r="I12" s="65" t="s">
        <v>357</v>
      </c>
      <c r="J12" s="96">
        <v>2</v>
      </c>
      <c r="K12" s="96">
        <f t="shared" si="0"/>
        <v>5013.4016000000001</v>
      </c>
      <c r="L12" s="96">
        <f t="shared" si="1"/>
        <v>5013.4016000000001</v>
      </c>
      <c r="M12" s="96">
        <v>2</v>
      </c>
      <c r="N12" s="96">
        <f t="shared" si="2"/>
        <v>5013.4016000000001</v>
      </c>
      <c r="O12" s="96">
        <f t="shared" si="3"/>
        <v>5013.4016000000001</v>
      </c>
      <c r="P12" s="96">
        <v>2</v>
      </c>
      <c r="Q12" s="96">
        <f t="shared" si="4"/>
        <v>5013.4016000000001</v>
      </c>
      <c r="R12" s="96">
        <f t="shared" si="5"/>
        <v>5013.4016000000001</v>
      </c>
      <c r="S12" s="96">
        <v>2</v>
      </c>
      <c r="T12" s="96">
        <f t="shared" si="6"/>
        <v>5013.4016000000001</v>
      </c>
      <c r="U12" s="96">
        <f t="shared" si="7"/>
        <v>5013.4016000000001</v>
      </c>
      <c r="V12" s="96">
        <v>2</v>
      </c>
      <c r="W12" s="96">
        <f t="shared" si="8"/>
        <v>5013.4016000000001</v>
      </c>
      <c r="X12" s="96">
        <f t="shared" si="9"/>
        <v>5013.4016000000001</v>
      </c>
      <c r="Y12" s="96">
        <v>2</v>
      </c>
      <c r="Z12" s="96">
        <f t="shared" si="10"/>
        <v>5013.4016000000001</v>
      </c>
      <c r="AA12" s="96">
        <f t="shared" si="11"/>
        <v>5013.4016000000001</v>
      </c>
    </row>
    <row r="13" spans="2:27" ht="25.5" x14ac:dyDescent="0.25">
      <c r="B13" s="145">
        <v>8</v>
      </c>
      <c r="C13" s="135" t="s">
        <v>22</v>
      </c>
      <c r="D13" s="119" t="s">
        <v>3</v>
      </c>
      <c r="E13" s="113">
        <v>120.64647221000001</v>
      </c>
      <c r="F13" s="142">
        <f>'Labour cost Escalation Factor'!$J$10</f>
        <v>0.27984207704983549</v>
      </c>
      <c r="G13" s="115">
        <f>E13*(1+F13)</f>
        <v>154.40843158198169</v>
      </c>
      <c r="H13" s="115">
        <f>G13*$H$1</f>
        <v>231.61264737297253</v>
      </c>
      <c r="I13" s="166" t="s">
        <v>763</v>
      </c>
      <c r="J13" s="130">
        <v>4</v>
      </c>
      <c r="K13" s="96">
        <f t="shared" si="0"/>
        <v>617.63372632792675</v>
      </c>
      <c r="L13" s="96">
        <f t="shared" si="1"/>
        <v>926.45058949189013</v>
      </c>
      <c r="M13" s="130">
        <v>4</v>
      </c>
      <c r="N13" s="96">
        <f t="shared" si="2"/>
        <v>617.63372632792675</v>
      </c>
      <c r="O13" s="96">
        <f t="shared" si="3"/>
        <v>926.45058949189013</v>
      </c>
      <c r="P13" s="130">
        <v>4</v>
      </c>
      <c r="Q13" s="96">
        <f t="shared" si="4"/>
        <v>617.63372632792675</v>
      </c>
      <c r="R13" s="96">
        <f t="shared" si="5"/>
        <v>926.45058949189013</v>
      </c>
      <c r="S13" s="130">
        <v>4</v>
      </c>
      <c r="T13" s="96">
        <f t="shared" si="6"/>
        <v>617.63372632792675</v>
      </c>
      <c r="U13" s="96">
        <f t="shared" si="7"/>
        <v>926.45058949189013</v>
      </c>
      <c r="V13" s="130">
        <v>4</v>
      </c>
      <c r="W13" s="96">
        <f t="shared" si="8"/>
        <v>617.63372632792675</v>
      </c>
      <c r="X13" s="96">
        <f t="shared" si="9"/>
        <v>926.45058949189013</v>
      </c>
      <c r="Y13" s="130">
        <v>4</v>
      </c>
      <c r="Z13" s="96">
        <f t="shared" si="10"/>
        <v>617.63372632792675</v>
      </c>
      <c r="AA13" s="96">
        <f t="shared" si="11"/>
        <v>926.45058949189013</v>
      </c>
    </row>
    <row r="14" spans="2:27" ht="25.5" x14ac:dyDescent="0.25">
      <c r="B14" s="145">
        <v>9</v>
      </c>
      <c r="C14" s="135" t="s">
        <v>16</v>
      </c>
      <c r="D14" s="119" t="s">
        <v>7</v>
      </c>
      <c r="E14" s="115">
        <v>154.44054494</v>
      </c>
      <c r="F14" s="142">
        <f>'Labour cost Escalation Factor'!$J$10</f>
        <v>0.27984207704983549</v>
      </c>
      <c r="G14" s="176">
        <f>E14*(1+F14)</f>
        <v>197.65950781671808</v>
      </c>
      <c r="H14" s="115">
        <f>G14</f>
        <v>197.65950781671808</v>
      </c>
      <c r="I14" s="166" t="s">
        <v>763</v>
      </c>
      <c r="J14" s="130">
        <v>4</v>
      </c>
      <c r="K14" s="96">
        <f t="shared" si="0"/>
        <v>790.6380312668723</v>
      </c>
      <c r="L14" s="96">
        <f t="shared" si="1"/>
        <v>790.6380312668723</v>
      </c>
      <c r="M14" s="130">
        <v>4</v>
      </c>
      <c r="N14" s="96">
        <f t="shared" si="2"/>
        <v>790.6380312668723</v>
      </c>
      <c r="O14" s="96">
        <f t="shared" si="3"/>
        <v>790.6380312668723</v>
      </c>
      <c r="P14" s="130">
        <v>4</v>
      </c>
      <c r="Q14" s="96">
        <f t="shared" si="4"/>
        <v>790.6380312668723</v>
      </c>
      <c r="R14" s="96">
        <f t="shared" si="5"/>
        <v>790.6380312668723</v>
      </c>
      <c r="S14" s="130">
        <v>4</v>
      </c>
      <c r="T14" s="96">
        <f t="shared" si="6"/>
        <v>790.6380312668723</v>
      </c>
      <c r="U14" s="96">
        <f t="shared" si="7"/>
        <v>790.6380312668723</v>
      </c>
      <c r="V14" s="130">
        <v>4</v>
      </c>
      <c r="W14" s="96">
        <f t="shared" si="8"/>
        <v>790.6380312668723</v>
      </c>
      <c r="X14" s="96">
        <f t="shared" si="9"/>
        <v>790.6380312668723</v>
      </c>
      <c r="Y14" s="130">
        <v>4</v>
      </c>
      <c r="Z14" s="96">
        <f t="shared" si="10"/>
        <v>790.6380312668723</v>
      </c>
      <c r="AA14" s="96">
        <f t="shared" si="11"/>
        <v>790.6380312668723</v>
      </c>
    </row>
    <row r="15" spans="2:27" ht="63.75" x14ac:dyDescent="0.25">
      <c r="B15" s="145">
        <v>10</v>
      </c>
      <c r="C15" s="143" t="s">
        <v>378</v>
      </c>
      <c r="D15" s="180" t="s">
        <v>365</v>
      </c>
      <c r="E15" s="115">
        <v>356.91111981800003</v>
      </c>
      <c r="F15" s="142"/>
      <c r="G15" s="115">
        <f>4428.8*0.0283*5</f>
        <v>626.67520000000002</v>
      </c>
      <c r="H15" s="115">
        <f>G15</f>
        <v>626.67520000000002</v>
      </c>
      <c r="I15" s="65" t="s">
        <v>357</v>
      </c>
      <c r="J15" s="130">
        <v>4</v>
      </c>
      <c r="K15" s="96">
        <f t="shared" si="0"/>
        <v>2506.7008000000001</v>
      </c>
      <c r="L15" s="96">
        <f t="shared" si="1"/>
        <v>2506.7008000000001</v>
      </c>
      <c r="M15" s="130">
        <v>4</v>
      </c>
      <c r="N15" s="96">
        <f t="shared" si="2"/>
        <v>2506.7008000000001</v>
      </c>
      <c r="O15" s="96">
        <f t="shared" si="3"/>
        <v>2506.7008000000001</v>
      </c>
      <c r="P15" s="130">
        <v>4</v>
      </c>
      <c r="Q15" s="96">
        <f t="shared" si="4"/>
        <v>2506.7008000000001</v>
      </c>
      <c r="R15" s="96">
        <f t="shared" si="5"/>
        <v>2506.7008000000001</v>
      </c>
      <c r="S15" s="130">
        <v>4</v>
      </c>
      <c r="T15" s="96">
        <f t="shared" si="6"/>
        <v>2506.7008000000001</v>
      </c>
      <c r="U15" s="96">
        <f t="shared" si="7"/>
        <v>2506.7008000000001</v>
      </c>
      <c r="V15" s="130">
        <v>4</v>
      </c>
      <c r="W15" s="96">
        <f t="shared" si="8"/>
        <v>2506.7008000000001</v>
      </c>
      <c r="X15" s="96">
        <f t="shared" si="9"/>
        <v>2506.7008000000001</v>
      </c>
      <c r="Y15" s="130">
        <v>4</v>
      </c>
      <c r="Z15" s="96">
        <f t="shared" si="10"/>
        <v>2506.7008000000001</v>
      </c>
      <c r="AA15" s="96">
        <f t="shared" si="11"/>
        <v>2506.7008000000001</v>
      </c>
    </row>
    <row r="16" spans="2:27" ht="38.25" x14ac:dyDescent="0.25">
      <c r="B16" s="145">
        <v>11</v>
      </c>
      <c r="C16" s="135" t="s">
        <v>214</v>
      </c>
      <c r="D16" s="119" t="s">
        <v>38</v>
      </c>
      <c r="E16" s="148">
        <v>933.46738674199992</v>
      </c>
      <c r="F16" s="195">
        <f>'Labour cost Escalation Factor'!$J$10</f>
        <v>0.27984207704983549</v>
      </c>
      <c r="G16" s="194">
        <f t="shared" ref="G16:G27" si="12">E16*(1+F16)</f>
        <v>1194.6908391061634</v>
      </c>
      <c r="H16" s="115">
        <f t="shared" ref="H16:H28" si="13">G16</f>
        <v>1194.6908391061634</v>
      </c>
      <c r="I16" s="166" t="s">
        <v>763</v>
      </c>
      <c r="J16" s="130">
        <v>1</v>
      </c>
      <c r="K16" s="96">
        <f t="shared" si="0"/>
        <v>1194.6908391061634</v>
      </c>
      <c r="L16" s="96">
        <f t="shared" si="1"/>
        <v>1194.6908391061634</v>
      </c>
      <c r="M16" s="130">
        <v>1</v>
      </c>
      <c r="N16" s="96">
        <f t="shared" si="2"/>
        <v>1194.6908391061634</v>
      </c>
      <c r="O16" s="96">
        <f t="shared" si="3"/>
        <v>1194.6908391061634</v>
      </c>
      <c r="P16" s="130">
        <v>1</v>
      </c>
      <c r="Q16" s="96">
        <f t="shared" si="4"/>
        <v>1194.6908391061634</v>
      </c>
      <c r="R16" s="96">
        <f t="shared" si="5"/>
        <v>1194.6908391061634</v>
      </c>
      <c r="S16" s="130">
        <v>1</v>
      </c>
      <c r="T16" s="96">
        <f t="shared" si="6"/>
        <v>1194.6908391061634</v>
      </c>
      <c r="U16" s="96">
        <f t="shared" si="7"/>
        <v>1194.6908391061634</v>
      </c>
      <c r="V16" s="130">
        <v>1</v>
      </c>
      <c r="W16" s="96">
        <f t="shared" si="8"/>
        <v>1194.6908391061634</v>
      </c>
      <c r="X16" s="96">
        <f t="shared" si="9"/>
        <v>1194.6908391061634</v>
      </c>
      <c r="Y16" s="130">
        <v>1</v>
      </c>
      <c r="Z16" s="96">
        <f t="shared" si="10"/>
        <v>1194.6908391061634</v>
      </c>
      <c r="AA16" s="96">
        <f t="shared" si="11"/>
        <v>1194.6908391061634</v>
      </c>
    </row>
    <row r="17" spans="2:27" ht="25.5" x14ac:dyDescent="0.25">
      <c r="B17" s="145">
        <v>12</v>
      </c>
      <c r="C17" s="135" t="s">
        <v>41</v>
      </c>
      <c r="D17" s="119" t="s">
        <v>40</v>
      </c>
      <c r="E17" s="148">
        <v>916.30914015299993</v>
      </c>
      <c r="F17" s="195">
        <f>'Labour cost Escalation Factor'!$J$10</f>
        <v>0.27984207704983549</v>
      </c>
      <c r="G17" s="194">
        <f>E17*(1+F17)</f>
        <v>1172.7309931531643</v>
      </c>
      <c r="H17" s="115">
        <f>G17</f>
        <v>1172.7309931531643</v>
      </c>
      <c r="I17" s="166" t="s">
        <v>763</v>
      </c>
      <c r="J17" s="130">
        <v>1</v>
      </c>
      <c r="K17" s="96">
        <f t="shared" si="0"/>
        <v>1172.7309931531643</v>
      </c>
      <c r="L17" s="96">
        <f t="shared" si="1"/>
        <v>1172.7309931531643</v>
      </c>
      <c r="M17" s="130">
        <v>1</v>
      </c>
      <c r="N17" s="96">
        <f t="shared" si="2"/>
        <v>1172.7309931531643</v>
      </c>
      <c r="O17" s="96">
        <f t="shared" si="3"/>
        <v>1172.7309931531643</v>
      </c>
      <c r="P17" s="130">
        <v>1</v>
      </c>
      <c r="Q17" s="96">
        <f t="shared" si="4"/>
        <v>1172.7309931531643</v>
      </c>
      <c r="R17" s="96">
        <f t="shared" si="5"/>
        <v>1172.7309931531643</v>
      </c>
      <c r="S17" s="130">
        <v>1</v>
      </c>
      <c r="T17" s="96">
        <f t="shared" si="6"/>
        <v>1172.7309931531643</v>
      </c>
      <c r="U17" s="96">
        <f t="shared" si="7"/>
        <v>1172.7309931531643</v>
      </c>
      <c r="V17" s="130">
        <v>1</v>
      </c>
      <c r="W17" s="96">
        <f t="shared" si="8"/>
        <v>1172.7309931531643</v>
      </c>
      <c r="X17" s="96">
        <f t="shared" si="9"/>
        <v>1172.7309931531643</v>
      </c>
      <c r="Y17" s="130">
        <v>1</v>
      </c>
      <c r="Z17" s="96">
        <f t="shared" si="10"/>
        <v>1172.7309931531643</v>
      </c>
      <c r="AA17" s="96">
        <f t="shared" si="11"/>
        <v>1172.7309931531643</v>
      </c>
    </row>
    <row r="18" spans="2:27" ht="38.25" x14ac:dyDescent="0.25">
      <c r="B18" s="145">
        <v>13</v>
      </c>
      <c r="C18" s="135" t="s">
        <v>39</v>
      </c>
      <c r="D18" s="119" t="s">
        <v>40</v>
      </c>
      <c r="E18" s="148">
        <v>202.48690051700001</v>
      </c>
      <c r="F18" s="195">
        <f>'Labour cost Escalation Factor'!$J$10</f>
        <v>0.27984207704983549</v>
      </c>
      <c r="G18" s="194">
        <f t="shared" si="12"/>
        <v>259.1512553330607</v>
      </c>
      <c r="H18" s="115">
        <f t="shared" si="13"/>
        <v>259.1512553330607</v>
      </c>
      <c r="I18" s="166" t="s">
        <v>763</v>
      </c>
      <c r="J18" s="130">
        <v>1</v>
      </c>
      <c r="K18" s="96">
        <f t="shared" si="0"/>
        <v>259.1512553330607</v>
      </c>
      <c r="L18" s="96">
        <f t="shared" si="1"/>
        <v>259.1512553330607</v>
      </c>
      <c r="M18" s="130">
        <v>1</v>
      </c>
      <c r="N18" s="96">
        <f t="shared" si="2"/>
        <v>259.1512553330607</v>
      </c>
      <c r="O18" s="96">
        <f t="shared" si="3"/>
        <v>259.1512553330607</v>
      </c>
      <c r="P18" s="130">
        <v>1</v>
      </c>
      <c r="Q18" s="96">
        <f t="shared" si="4"/>
        <v>259.1512553330607</v>
      </c>
      <c r="R18" s="96">
        <f t="shared" si="5"/>
        <v>259.1512553330607</v>
      </c>
      <c r="S18" s="130">
        <v>1</v>
      </c>
      <c r="T18" s="96">
        <f t="shared" si="6"/>
        <v>259.1512553330607</v>
      </c>
      <c r="U18" s="96">
        <f t="shared" si="7"/>
        <v>259.1512553330607</v>
      </c>
      <c r="V18" s="130">
        <v>1</v>
      </c>
      <c r="W18" s="96">
        <f t="shared" si="8"/>
        <v>259.1512553330607</v>
      </c>
      <c r="X18" s="96">
        <f t="shared" si="9"/>
        <v>259.1512553330607</v>
      </c>
      <c r="Y18" s="130">
        <v>1</v>
      </c>
      <c r="Z18" s="96">
        <f t="shared" si="10"/>
        <v>259.1512553330607</v>
      </c>
      <c r="AA18" s="96">
        <f t="shared" si="11"/>
        <v>259.1512553330607</v>
      </c>
    </row>
    <row r="19" spans="2:27" ht="51" x14ac:dyDescent="0.25">
      <c r="B19" s="409">
        <v>14</v>
      </c>
      <c r="C19" s="135" t="s">
        <v>123</v>
      </c>
      <c r="D19" s="119" t="s">
        <v>42</v>
      </c>
      <c r="E19" s="148">
        <v>1468.8340664689999</v>
      </c>
      <c r="F19" s="195">
        <f>'Labour cost Escalation Factor'!$J$10</f>
        <v>0.27984207704983549</v>
      </c>
      <c r="G19" s="194">
        <f t="shared" si="12"/>
        <v>1879.875642471241</v>
      </c>
      <c r="H19" s="115">
        <f t="shared" si="13"/>
        <v>1879.875642471241</v>
      </c>
      <c r="I19" s="166" t="s">
        <v>763</v>
      </c>
      <c r="J19" s="130">
        <v>1</v>
      </c>
      <c r="K19" s="96">
        <f t="shared" si="0"/>
        <v>1879.875642471241</v>
      </c>
      <c r="L19" s="96">
        <f t="shared" si="1"/>
        <v>1879.875642471241</v>
      </c>
      <c r="M19" s="130">
        <v>1</v>
      </c>
      <c r="N19" s="96">
        <f t="shared" si="2"/>
        <v>1879.875642471241</v>
      </c>
      <c r="O19" s="96">
        <f t="shared" si="3"/>
        <v>1879.875642471241</v>
      </c>
      <c r="P19" s="130">
        <v>1</v>
      </c>
      <c r="Q19" s="96">
        <f t="shared" si="4"/>
        <v>1879.875642471241</v>
      </c>
      <c r="R19" s="96">
        <f t="shared" si="5"/>
        <v>1879.875642471241</v>
      </c>
      <c r="S19" s="130">
        <v>1</v>
      </c>
      <c r="T19" s="96">
        <f t="shared" si="6"/>
        <v>1879.875642471241</v>
      </c>
      <c r="U19" s="96">
        <f t="shared" si="7"/>
        <v>1879.875642471241</v>
      </c>
      <c r="V19" s="130"/>
      <c r="W19" s="96">
        <f t="shared" si="8"/>
        <v>0</v>
      </c>
      <c r="X19" s="96">
        <f t="shared" si="9"/>
        <v>0</v>
      </c>
      <c r="Y19" s="130"/>
      <c r="Z19" s="96">
        <f t="shared" si="10"/>
        <v>0</v>
      </c>
      <c r="AA19" s="96">
        <f t="shared" si="11"/>
        <v>0</v>
      </c>
    </row>
    <row r="20" spans="2:27" ht="51" x14ac:dyDescent="0.25">
      <c r="B20" s="410"/>
      <c r="C20" s="135" t="s">
        <v>714</v>
      </c>
      <c r="D20" s="119" t="s">
        <v>42</v>
      </c>
      <c r="E20" s="148">
        <v>2937.6681329379999</v>
      </c>
      <c r="F20" s="195">
        <f>'Labour cost Escalation Factor'!$J$10</f>
        <v>0.27984207704983549</v>
      </c>
      <c r="G20" s="194">
        <f t="shared" si="12"/>
        <v>3759.751284942482</v>
      </c>
      <c r="H20" s="115">
        <f t="shared" si="13"/>
        <v>3759.751284942482</v>
      </c>
      <c r="I20" s="166" t="s">
        <v>763</v>
      </c>
      <c r="J20" s="130"/>
      <c r="K20" s="96">
        <f t="shared" si="0"/>
        <v>0</v>
      </c>
      <c r="L20" s="96">
        <f t="shared" si="1"/>
        <v>0</v>
      </c>
      <c r="M20" s="130"/>
      <c r="N20" s="96">
        <f t="shared" si="2"/>
        <v>0</v>
      </c>
      <c r="O20" s="96">
        <f t="shared" si="3"/>
        <v>0</v>
      </c>
      <c r="P20" s="130"/>
      <c r="Q20" s="96">
        <f t="shared" si="4"/>
        <v>0</v>
      </c>
      <c r="R20" s="96">
        <f t="shared" si="5"/>
        <v>0</v>
      </c>
      <c r="S20" s="130"/>
      <c r="T20" s="96">
        <f t="shared" si="6"/>
        <v>0</v>
      </c>
      <c r="U20" s="96">
        <f t="shared" si="7"/>
        <v>0</v>
      </c>
      <c r="V20" s="130">
        <v>1</v>
      </c>
      <c r="W20" s="96">
        <f t="shared" si="8"/>
        <v>3759.751284942482</v>
      </c>
      <c r="X20" s="96">
        <f t="shared" si="9"/>
        <v>3759.751284942482</v>
      </c>
      <c r="Y20" s="130">
        <v>1</v>
      </c>
      <c r="Z20" s="96">
        <f t="shared" si="10"/>
        <v>3759.751284942482</v>
      </c>
      <c r="AA20" s="96">
        <f t="shared" si="11"/>
        <v>3759.751284942482</v>
      </c>
    </row>
    <row r="21" spans="2:27" ht="38.25" x14ac:dyDescent="0.25">
      <c r="B21" s="145">
        <v>15</v>
      </c>
      <c r="C21" s="135" t="s">
        <v>43</v>
      </c>
      <c r="D21" s="119" t="s">
        <v>40</v>
      </c>
      <c r="E21" s="148">
        <v>579.98465111400003</v>
      </c>
      <c r="F21" s="195">
        <f>'Labour cost Escalation Factor'!$J$10</f>
        <v>0.27984207704983549</v>
      </c>
      <c r="G21" s="194">
        <f t="shared" si="12"/>
        <v>742.28876053876604</v>
      </c>
      <c r="H21" s="115">
        <f t="shared" si="13"/>
        <v>742.28876053876604</v>
      </c>
      <c r="I21" s="166" t="s">
        <v>763</v>
      </c>
      <c r="J21" s="130">
        <v>1</v>
      </c>
      <c r="K21" s="96">
        <f t="shared" si="0"/>
        <v>742.28876053876604</v>
      </c>
      <c r="L21" s="96">
        <f t="shared" si="1"/>
        <v>742.28876053876604</v>
      </c>
      <c r="M21" s="130">
        <v>1</v>
      </c>
      <c r="N21" s="96">
        <f t="shared" si="2"/>
        <v>742.28876053876604</v>
      </c>
      <c r="O21" s="96">
        <f t="shared" si="3"/>
        <v>742.28876053876604</v>
      </c>
      <c r="P21" s="130">
        <v>1</v>
      </c>
      <c r="Q21" s="96">
        <f t="shared" si="4"/>
        <v>742.28876053876604</v>
      </c>
      <c r="R21" s="96">
        <f t="shared" si="5"/>
        <v>742.28876053876604</v>
      </c>
      <c r="S21" s="130">
        <v>1</v>
      </c>
      <c r="T21" s="96">
        <f t="shared" si="6"/>
        <v>742.28876053876604</v>
      </c>
      <c r="U21" s="96">
        <f t="shared" si="7"/>
        <v>742.28876053876604</v>
      </c>
      <c r="V21" s="130">
        <v>1</v>
      </c>
      <c r="W21" s="96">
        <f t="shared" si="8"/>
        <v>742.28876053876604</v>
      </c>
      <c r="X21" s="96">
        <f t="shared" si="9"/>
        <v>742.28876053876604</v>
      </c>
      <c r="Y21" s="130">
        <v>1</v>
      </c>
      <c r="Z21" s="96">
        <f t="shared" si="10"/>
        <v>742.28876053876604</v>
      </c>
      <c r="AA21" s="96">
        <f t="shared" si="11"/>
        <v>742.28876053876604</v>
      </c>
    </row>
    <row r="22" spans="2:27" ht="114.75" x14ac:dyDescent="0.25">
      <c r="B22" s="145">
        <v>16</v>
      </c>
      <c r="C22" s="135" t="s">
        <v>391</v>
      </c>
      <c r="D22" s="119" t="s">
        <v>44</v>
      </c>
      <c r="E22" s="201">
        <v>554.95747539500007</v>
      </c>
      <c r="F22" s="195">
        <f>'Labour cost Escalation Factor'!$J$10</f>
        <v>0.27984207704983549</v>
      </c>
      <c r="G22" s="194">
        <f t="shared" si="12"/>
        <v>710.25792798386988</v>
      </c>
      <c r="H22" s="115">
        <f t="shared" si="13"/>
        <v>710.25792798386988</v>
      </c>
      <c r="I22" s="166" t="s">
        <v>763</v>
      </c>
      <c r="J22" s="130">
        <v>1</v>
      </c>
      <c r="K22" s="96">
        <f t="shared" si="0"/>
        <v>710.25792798386988</v>
      </c>
      <c r="L22" s="96">
        <f t="shared" si="1"/>
        <v>710.25792798386988</v>
      </c>
      <c r="M22" s="130">
        <v>1</v>
      </c>
      <c r="N22" s="96">
        <f t="shared" si="2"/>
        <v>710.25792798386988</v>
      </c>
      <c r="O22" s="96">
        <f t="shared" si="3"/>
        <v>710.25792798386988</v>
      </c>
      <c r="P22" s="130">
        <v>1</v>
      </c>
      <c r="Q22" s="96">
        <f t="shared" si="4"/>
        <v>710.25792798386988</v>
      </c>
      <c r="R22" s="96">
        <f t="shared" si="5"/>
        <v>710.25792798386988</v>
      </c>
      <c r="S22" s="130">
        <v>1</v>
      </c>
      <c r="T22" s="96">
        <f t="shared" si="6"/>
        <v>710.25792798386988</v>
      </c>
      <c r="U22" s="96">
        <f t="shared" si="7"/>
        <v>710.25792798386988</v>
      </c>
      <c r="V22" s="130">
        <v>1</v>
      </c>
      <c r="W22" s="96">
        <f t="shared" si="8"/>
        <v>710.25792798386988</v>
      </c>
      <c r="X22" s="96">
        <f t="shared" si="9"/>
        <v>710.25792798386988</v>
      </c>
      <c r="Y22" s="130">
        <v>1</v>
      </c>
      <c r="Z22" s="96">
        <f t="shared" si="10"/>
        <v>710.25792798386988</v>
      </c>
      <c r="AA22" s="96">
        <f t="shared" si="11"/>
        <v>710.25792798386988</v>
      </c>
    </row>
    <row r="23" spans="2:27" ht="25.5" x14ac:dyDescent="0.25">
      <c r="B23" s="409">
        <v>17</v>
      </c>
      <c r="C23" s="135" t="s">
        <v>369</v>
      </c>
      <c r="D23" s="119"/>
      <c r="E23" s="148"/>
      <c r="F23" s="195"/>
      <c r="G23" s="194"/>
      <c r="H23" s="115">
        <f t="shared" si="13"/>
        <v>0</v>
      </c>
      <c r="I23" s="68"/>
      <c r="J23" s="130"/>
      <c r="K23" s="96">
        <f t="shared" si="0"/>
        <v>0</v>
      </c>
      <c r="L23" s="96">
        <f t="shared" si="1"/>
        <v>0</v>
      </c>
      <c r="M23" s="130"/>
      <c r="N23" s="96">
        <f t="shared" si="2"/>
        <v>0</v>
      </c>
      <c r="O23" s="96">
        <f t="shared" si="3"/>
        <v>0</v>
      </c>
      <c r="P23" s="130"/>
      <c r="Q23" s="96">
        <f t="shared" si="4"/>
        <v>0</v>
      </c>
      <c r="R23" s="96">
        <f t="shared" si="5"/>
        <v>0</v>
      </c>
      <c r="S23" s="130"/>
      <c r="T23" s="96">
        <f t="shared" si="6"/>
        <v>0</v>
      </c>
      <c r="U23" s="96">
        <f t="shared" si="7"/>
        <v>0</v>
      </c>
      <c r="V23" s="130"/>
      <c r="W23" s="96">
        <f t="shared" si="8"/>
        <v>0</v>
      </c>
      <c r="X23" s="96">
        <f t="shared" si="9"/>
        <v>0</v>
      </c>
      <c r="Y23" s="130"/>
      <c r="Z23" s="96">
        <f t="shared" si="10"/>
        <v>0</v>
      </c>
      <c r="AA23" s="96">
        <f t="shared" si="11"/>
        <v>0</v>
      </c>
    </row>
    <row r="24" spans="2:27" ht="25.5" x14ac:dyDescent="0.25">
      <c r="B24" s="411"/>
      <c r="C24" s="135" t="s">
        <v>124</v>
      </c>
      <c r="D24" s="119" t="s">
        <v>45</v>
      </c>
      <c r="E24" s="148">
        <v>496.00389200000006</v>
      </c>
      <c r="F24" s="195">
        <f>'Labour cost Escalation Factor'!$J$10</f>
        <v>0.27984207704983549</v>
      </c>
      <c r="G24" s="194">
        <f>E24*(1+F24)</f>
        <v>634.80665136208245</v>
      </c>
      <c r="H24" s="115">
        <f t="shared" si="13"/>
        <v>634.80665136208245</v>
      </c>
      <c r="I24" s="166" t="s">
        <v>763</v>
      </c>
      <c r="J24" s="130">
        <v>1</v>
      </c>
      <c r="K24" s="96">
        <f t="shared" si="0"/>
        <v>634.80665136208245</v>
      </c>
      <c r="L24" s="96">
        <f t="shared" si="1"/>
        <v>634.80665136208245</v>
      </c>
      <c r="M24" s="130">
        <v>1</v>
      </c>
      <c r="N24" s="96">
        <f t="shared" si="2"/>
        <v>634.80665136208245</v>
      </c>
      <c r="O24" s="96">
        <f t="shared" si="3"/>
        <v>634.80665136208245</v>
      </c>
      <c r="P24" s="130">
        <v>1</v>
      </c>
      <c r="Q24" s="96">
        <f t="shared" si="4"/>
        <v>634.80665136208245</v>
      </c>
      <c r="R24" s="96">
        <f t="shared" si="5"/>
        <v>634.80665136208245</v>
      </c>
      <c r="S24" s="130">
        <v>1</v>
      </c>
      <c r="T24" s="96">
        <f t="shared" si="6"/>
        <v>634.80665136208245</v>
      </c>
      <c r="U24" s="96">
        <f t="shared" si="7"/>
        <v>634.80665136208245</v>
      </c>
      <c r="V24" s="130">
        <v>1</v>
      </c>
      <c r="W24" s="96">
        <f t="shared" si="8"/>
        <v>634.80665136208245</v>
      </c>
      <c r="X24" s="96">
        <f t="shared" si="9"/>
        <v>634.80665136208245</v>
      </c>
      <c r="Y24" s="130">
        <v>1</v>
      </c>
      <c r="Z24" s="96">
        <f t="shared" si="10"/>
        <v>634.80665136208245</v>
      </c>
      <c r="AA24" s="96">
        <f t="shared" si="11"/>
        <v>634.80665136208245</v>
      </c>
    </row>
    <row r="25" spans="2:27" ht="38.25" x14ac:dyDescent="0.25">
      <c r="B25" s="411"/>
      <c r="C25" s="135" t="s">
        <v>46</v>
      </c>
      <c r="D25" s="119" t="s">
        <v>18</v>
      </c>
      <c r="E25" s="148">
        <v>496.00389200000006</v>
      </c>
      <c r="F25" s="195">
        <f>'Labour cost Escalation Factor'!$J$10</f>
        <v>0.27984207704983549</v>
      </c>
      <c r="G25" s="194">
        <f t="shared" si="12"/>
        <v>634.80665136208245</v>
      </c>
      <c r="H25" s="115">
        <f t="shared" si="13"/>
        <v>634.80665136208245</v>
      </c>
      <c r="I25" s="166" t="s">
        <v>763</v>
      </c>
      <c r="J25" s="130">
        <v>6</v>
      </c>
      <c r="K25" s="96">
        <f t="shared" si="0"/>
        <v>3808.8399081724947</v>
      </c>
      <c r="L25" s="96">
        <f t="shared" si="1"/>
        <v>3808.8399081724947</v>
      </c>
      <c r="M25" s="130">
        <v>6</v>
      </c>
      <c r="N25" s="96">
        <f t="shared" si="2"/>
        <v>3808.8399081724947</v>
      </c>
      <c r="O25" s="96">
        <f t="shared" si="3"/>
        <v>3808.8399081724947</v>
      </c>
      <c r="P25" s="130">
        <v>6</v>
      </c>
      <c r="Q25" s="96">
        <f t="shared" si="4"/>
        <v>3808.8399081724947</v>
      </c>
      <c r="R25" s="96">
        <f t="shared" si="5"/>
        <v>3808.8399081724947</v>
      </c>
      <c r="S25" s="130">
        <v>6</v>
      </c>
      <c r="T25" s="96">
        <f t="shared" si="6"/>
        <v>3808.8399081724947</v>
      </c>
      <c r="U25" s="96">
        <f t="shared" si="7"/>
        <v>3808.8399081724947</v>
      </c>
      <c r="V25" s="130">
        <v>6</v>
      </c>
      <c r="W25" s="96">
        <f t="shared" si="8"/>
        <v>3808.8399081724947</v>
      </c>
      <c r="X25" s="96">
        <f t="shared" si="9"/>
        <v>3808.8399081724947</v>
      </c>
      <c r="Y25" s="130">
        <v>6</v>
      </c>
      <c r="Z25" s="96">
        <f t="shared" si="10"/>
        <v>3808.8399081724947</v>
      </c>
      <c r="AA25" s="96">
        <f t="shared" si="11"/>
        <v>3808.8399081724947</v>
      </c>
    </row>
    <row r="26" spans="2:27" ht="25.5" x14ac:dyDescent="0.25">
      <c r="B26" s="410"/>
      <c r="C26" s="135" t="s">
        <v>131</v>
      </c>
      <c r="D26" s="119" t="s">
        <v>47</v>
      </c>
      <c r="E26" s="148">
        <v>882.09060080899985</v>
      </c>
      <c r="F26" s="195">
        <f>'Labour cost Escalation Factor'!$J$10</f>
        <v>0.27984207704983549</v>
      </c>
      <c r="G26" s="194">
        <f t="shared" si="12"/>
        <v>1128.9366666855278</v>
      </c>
      <c r="H26" s="115">
        <f t="shared" si="13"/>
        <v>1128.9366666855278</v>
      </c>
      <c r="I26" s="166" t="s">
        <v>763</v>
      </c>
      <c r="J26" s="130">
        <v>1</v>
      </c>
      <c r="K26" s="96">
        <f t="shared" si="0"/>
        <v>1128.9366666855278</v>
      </c>
      <c r="L26" s="96">
        <f t="shared" si="1"/>
        <v>1128.9366666855278</v>
      </c>
      <c r="M26" s="130">
        <v>1</v>
      </c>
      <c r="N26" s="96">
        <f t="shared" si="2"/>
        <v>1128.9366666855278</v>
      </c>
      <c r="O26" s="96">
        <f t="shared" si="3"/>
        <v>1128.9366666855278</v>
      </c>
      <c r="P26" s="130">
        <v>1</v>
      </c>
      <c r="Q26" s="96">
        <f t="shared" si="4"/>
        <v>1128.9366666855278</v>
      </c>
      <c r="R26" s="96">
        <f t="shared" si="5"/>
        <v>1128.9366666855278</v>
      </c>
      <c r="S26" s="130">
        <v>1</v>
      </c>
      <c r="T26" s="96">
        <f t="shared" si="6"/>
        <v>1128.9366666855278</v>
      </c>
      <c r="U26" s="96">
        <f t="shared" si="7"/>
        <v>1128.9366666855278</v>
      </c>
      <c r="V26" s="130">
        <v>1</v>
      </c>
      <c r="W26" s="96">
        <f t="shared" si="8"/>
        <v>1128.9366666855278</v>
      </c>
      <c r="X26" s="96">
        <f t="shared" si="9"/>
        <v>1128.9366666855278</v>
      </c>
      <c r="Y26" s="130">
        <v>1</v>
      </c>
      <c r="Z26" s="96">
        <f t="shared" si="10"/>
        <v>1128.9366666855278</v>
      </c>
      <c r="AA26" s="96">
        <f t="shared" si="11"/>
        <v>1128.9366666855278</v>
      </c>
    </row>
    <row r="27" spans="2:27" ht="25.5" x14ac:dyDescent="0.25">
      <c r="B27" s="145">
        <v>18</v>
      </c>
      <c r="C27" s="134" t="s">
        <v>48</v>
      </c>
      <c r="D27" s="119" t="s">
        <v>47</v>
      </c>
      <c r="E27" s="148">
        <v>700</v>
      </c>
      <c r="F27" s="195">
        <f>'Labour cost Escalation Factor'!$J$10</f>
        <v>0.27984207704983549</v>
      </c>
      <c r="G27" s="194">
        <f t="shared" si="12"/>
        <v>895.88945393488484</v>
      </c>
      <c r="H27" s="115">
        <f t="shared" si="13"/>
        <v>895.88945393488484</v>
      </c>
      <c r="I27" s="166" t="s">
        <v>763</v>
      </c>
      <c r="J27" s="130">
        <v>1</v>
      </c>
      <c r="K27" s="96">
        <f t="shared" si="0"/>
        <v>895.88945393488484</v>
      </c>
      <c r="L27" s="96">
        <f t="shared" si="1"/>
        <v>895.88945393488484</v>
      </c>
      <c r="M27" s="130">
        <v>1</v>
      </c>
      <c r="N27" s="96">
        <f t="shared" si="2"/>
        <v>895.88945393488484</v>
      </c>
      <c r="O27" s="96">
        <f t="shared" si="3"/>
        <v>895.88945393488484</v>
      </c>
      <c r="P27" s="130">
        <v>1</v>
      </c>
      <c r="Q27" s="96">
        <f t="shared" si="4"/>
        <v>895.88945393488484</v>
      </c>
      <c r="R27" s="96">
        <f t="shared" si="5"/>
        <v>895.88945393488484</v>
      </c>
      <c r="S27" s="130">
        <v>1</v>
      </c>
      <c r="T27" s="96">
        <f t="shared" si="6"/>
        <v>895.88945393488484</v>
      </c>
      <c r="U27" s="96">
        <f t="shared" si="7"/>
        <v>895.88945393488484</v>
      </c>
      <c r="V27" s="130">
        <v>1</v>
      </c>
      <c r="W27" s="96">
        <f t="shared" si="8"/>
        <v>895.88945393488484</v>
      </c>
      <c r="X27" s="96">
        <f t="shared" si="9"/>
        <v>895.88945393488484</v>
      </c>
      <c r="Y27" s="130">
        <v>1</v>
      </c>
      <c r="Z27" s="96">
        <f t="shared" si="10"/>
        <v>895.88945393488484</v>
      </c>
      <c r="AA27" s="96">
        <f t="shared" si="11"/>
        <v>895.88945393488484</v>
      </c>
    </row>
    <row r="28" spans="2:27" ht="140.25" x14ac:dyDescent="0.25">
      <c r="B28" s="145">
        <v>19</v>
      </c>
      <c r="C28" s="135" t="s">
        <v>762</v>
      </c>
      <c r="D28" s="119" t="s">
        <v>761</v>
      </c>
      <c r="E28" s="148">
        <v>17972</v>
      </c>
      <c r="F28" s="195" t="s">
        <v>760</v>
      </c>
      <c r="G28" s="176">
        <f>E28*((1.0395*0.6)+(1.2798*0.4))</f>
        <v>20409.362640000003</v>
      </c>
      <c r="H28" s="115">
        <f t="shared" si="13"/>
        <v>20409.362640000003</v>
      </c>
      <c r="I28" s="166" t="s">
        <v>793</v>
      </c>
      <c r="J28" s="130"/>
      <c r="K28" s="96">
        <f t="shared" si="0"/>
        <v>0</v>
      </c>
      <c r="L28" s="96">
        <f t="shared" si="1"/>
        <v>0</v>
      </c>
      <c r="M28" s="96"/>
      <c r="N28" s="96">
        <f t="shared" si="2"/>
        <v>0</v>
      </c>
      <c r="O28" s="96">
        <f t="shared" si="3"/>
        <v>0</v>
      </c>
      <c r="P28" s="96"/>
      <c r="Q28" s="96">
        <f t="shared" si="4"/>
        <v>0</v>
      </c>
      <c r="R28" s="96">
        <f t="shared" si="5"/>
        <v>0</v>
      </c>
      <c r="S28" s="92"/>
      <c r="T28" s="96">
        <f t="shared" si="6"/>
        <v>0</v>
      </c>
      <c r="U28" s="96">
        <f t="shared" si="7"/>
        <v>0</v>
      </c>
      <c r="V28" s="130"/>
      <c r="W28" s="96">
        <f t="shared" si="8"/>
        <v>0</v>
      </c>
      <c r="X28" s="96">
        <f t="shared" si="9"/>
        <v>0</v>
      </c>
      <c r="Y28" s="130">
        <v>1</v>
      </c>
      <c r="Z28" s="96">
        <f t="shared" si="10"/>
        <v>20409.362640000003</v>
      </c>
      <c r="AA28" s="96">
        <f t="shared" si="11"/>
        <v>20409.362640000003</v>
      </c>
    </row>
    <row r="29" spans="2:27" x14ac:dyDescent="0.25">
      <c r="B29" s="406" t="s">
        <v>108</v>
      </c>
      <c r="C29" s="406"/>
      <c r="D29" s="406"/>
      <c r="E29" s="406"/>
      <c r="F29" s="406"/>
      <c r="G29" s="406"/>
      <c r="H29" s="194"/>
      <c r="I29" s="70"/>
      <c r="J29" s="121"/>
      <c r="K29" s="121">
        <f>SUM(K6:K28)</f>
        <v>22546.137864792683</v>
      </c>
      <c r="L29" s="121">
        <f>SUM(L6:L28)</f>
        <v>23083.356389378088</v>
      </c>
      <c r="M29" s="121"/>
      <c r="N29" s="121">
        <f>SUM(N6:N28)</f>
        <v>22546.137864792683</v>
      </c>
      <c r="O29" s="121">
        <f>SUM(O6:O28)</f>
        <v>23083.356389378088</v>
      </c>
      <c r="P29" s="121"/>
      <c r="Q29" s="121">
        <f>SUM(Q6:Q28)</f>
        <v>22546.137864792683</v>
      </c>
      <c r="R29" s="121">
        <f>SUM(R6:R28)</f>
        <v>23083.356389378088</v>
      </c>
      <c r="S29" s="121"/>
      <c r="T29" s="121">
        <f>SUM(T6:T28)</f>
        <v>22546.137864792683</v>
      </c>
      <c r="U29" s="121">
        <f>SUM(U6:U28)</f>
        <v>23083.356389378088</v>
      </c>
      <c r="V29" s="121"/>
      <c r="W29" s="121">
        <f>SUM(W6:W28)</f>
        <v>24426.013507263924</v>
      </c>
      <c r="X29" s="121">
        <f>SUM(X6:X28)</f>
        <v>24963.232031849329</v>
      </c>
      <c r="Y29" s="121"/>
      <c r="Z29" s="121">
        <f>SUM(Z6:Z28)</f>
        <v>44835.376147263931</v>
      </c>
      <c r="AA29" s="121">
        <f>SUM(AA6:AA28)</f>
        <v>45372.594671849336</v>
      </c>
    </row>
    <row r="30" spans="2:27" x14ac:dyDescent="0.25">
      <c r="B30" s="202"/>
      <c r="C30" s="187"/>
      <c r="D30" s="203"/>
      <c r="E30" s="204"/>
      <c r="F30" s="205"/>
      <c r="G30" s="206"/>
      <c r="H30" s="186"/>
    </row>
    <row r="31" spans="2:27" x14ac:dyDescent="0.25">
      <c r="B31" s="202"/>
      <c r="C31" s="187"/>
      <c r="D31" s="203"/>
      <c r="E31" s="204"/>
      <c r="F31" s="205"/>
      <c r="G31" s="202"/>
      <c r="H31" s="186"/>
    </row>
    <row r="32" spans="2:27" x14ac:dyDescent="0.25">
      <c r="B32" s="202"/>
      <c r="C32" s="187"/>
      <c r="D32" s="203"/>
      <c r="E32" s="204"/>
      <c r="F32" s="205"/>
      <c r="G32" s="202"/>
      <c r="H32" s="186"/>
    </row>
  </sheetData>
  <mergeCells count="18">
    <mergeCell ref="Y3:AA3"/>
    <mergeCell ref="B2:D2"/>
    <mergeCell ref="M3:O3"/>
    <mergeCell ref="P3:R3"/>
    <mergeCell ref="S3:U3"/>
    <mergeCell ref="V3:X3"/>
    <mergeCell ref="I3:I4"/>
    <mergeCell ref="B19:B20"/>
    <mergeCell ref="B23:B26"/>
    <mergeCell ref="J3:L3"/>
    <mergeCell ref="B29:G29"/>
    <mergeCell ref="F3:F4"/>
    <mergeCell ref="B3:B4"/>
    <mergeCell ref="C3:C4"/>
    <mergeCell ref="D3:D4"/>
    <mergeCell ref="E3:E4"/>
    <mergeCell ref="G3:H3"/>
    <mergeCell ref="B7:B11"/>
  </mergeCells>
  <printOptions horizontalCentered="1"/>
  <pageMargins left="0.49" right="0.45" top="1.05" bottom="0.57999999999999996" header="0.48" footer="0.3"/>
  <pageSetup paperSize="9" scale="80" orientation="landscape" r:id="rId1"/>
  <headerFooter>
    <oddHeader>&amp;L&amp;G&amp;C&amp;"-,Bold"&amp;20JBVNL Cost Data Book&amp;"-,Regular"&amp;11
&amp;"-,Bold Italic"&amp;14 11/0.4 KV DSS Labour Cost Analysis&amp;R
&amp;G</oddHeader>
    <oddFooter>&amp;L&amp;"-,Bold"&amp;14 2016-17&amp;RPage &amp;P of &amp;N</oddFooter>
  </headerFooter>
  <colBreaks count="2" manualBreakCount="2">
    <brk id="9" min="1" max="29" man="1"/>
    <brk id="18" min="1" max="29"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B1:O44"/>
  <sheetViews>
    <sheetView zoomScaleNormal="100" zoomScaleSheetLayoutView="85" workbookViewId="0">
      <pane xSplit="4" ySplit="5" topLeftCell="E6" activePane="bottomRight" state="frozen"/>
      <selection activeCell="D12" sqref="D12"/>
      <selection pane="topRight" activeCell="D12" sqref="D12"/>
      <selection pane="bottomLeft" activeCell="D12" sqref="D12"/>
      <selection pane="bottomRight" activeCell="E6" sqref="E6"/>
    </sheetView>
  </sheetViews>
  <sheetFormatPr defaultRowHeight="15" x14ac:dyDescent="0.25"/>
  <cols>
    <col min="1" max="1" width="4.28515625" style="7" customWidth="1"/>
    <col min="2" max="2" width="5.85546875" style="14" bestFit="1" customWidth="1"/>
    <col min="3" max="3" width="48.42578125" style="136" customWidth="1"/>
    <col min="4" max="4" width="12.7109375" style="16" bestFit="1" customWidth="1"/>
    <col min="5" max="5" width="13" style="9" customWidth="1"/>
    <col min="6" max="6" width="25" style="17" customWidth="1"/>
    <col min="7" max="7" width="11.7109375" style="15" customWidth="1"/>
    <col min="8" max="8" width="9.140625" style="7" customWidth="1"/>
    <col min="9" max="9" width="32.28515625" style="66" customWidth="1"/>
    <col min="10" max="10" width="7.5703125" style="7" bestFit="1" customWidth="1"/>
    <col min="11" max="12" width="11.85546875" style="7" customWidth="1"/>
    <col min="13" max="13" width="7.5703125" style="7" bestFit="1" customWidth="1"/>
    <col min="14" max="15" width="11.42578125" style="7" customWidth="1"/>
    <col min="16" max="16384" width="9.140625" style="7"/>
  </cols>
  <sheetData>
    <row r="1" spans="2:15" x14ac:dyDescent="0.25">
      <c r="C1"/>
      <c r="D1"/>
      <c r="E1"/>
      <c r="F1"/>
      <c r="H1" s="7">
        <v>1.5</v>
      </c>
    </row>
    <row r="2" spans="2:15" ht="39.75" hidden="1" customHeight="1" x14ac:dyDescent="0.25">
      <c r="B2" s="368" t="s">
        <v>511</v>
      </c>
      <c r="C2" s="368"/>
      <c r="D2" s="368"/>
      <c r="E2" s="90"/>
      <c r="F2" s="90"/>
      <c r="G2" s="90"/>
      <c r="H2" s="90"/>
      <c r="I2" s="67"/>
    </row>
    <row r="3" spans="2:15" s="11" customFormat="1" ht="76.5" customHeight="1" x14ac:dyDescent="0.25">
      <c r="B3" s="375" t="s">
        <v>1</v>
      </c>
      <c r="C3" s="377" t="s">
        <v>2</v>
      </c>
      <c r="D3" s="375" t="s">
        <v>0</v>
      </c>
      <c r="E3" s="379" t="s">
        <v>211</v>
      </c>
      <c r="F3" s="379" t="s">
        <v>72</v>
      </c>
      <c r="G3" s="367" t="s">
        <v>210</v>
      </c>
      <c r="H3" s="367"/>
      <c r="I3" s="381" t="s">
        <v>349</v>
      </c>
      <c r="J3" s="386" t="s">
        <v>372</v>
      </c>
      <c r="K3" s="387"/>
      <c r="L3" s="388"/>
      <c r="M3" s="367" t="s">
        <v>373</v>
      </c>
      <c r="N3" s="367"/>
      <c r="O3" s="367"/>
    </row>
    <row r="4" spans="2:15" s="11" customFormat="1" ht="25.5" x14ac:dyDescent="0.25">
      <c r="B4" s="376"/>
      <c r="C4" s="378"/>
      <c r="D4" s="376"/>
      <c r="E4" s="380"/>
      <c r="F4" s="380"/>
      <c r="G4" s="74" t="s">
        <v>144</v>
      </c>
      <c r="H4" s="74" t="s">
        <v>145</v>
      </c>
      <c r="I4" s="382"/>
      <c r="J4" s="27" t="s">
        <v>107</v>
      </c>
      <c r="K4" s="74" t="s">
        <v>507</v>
      </c>
      <c r="L4" s="74" t="s">
        <v>508</v>
      </c>
      <c r="M4" s="74" t="s">
        <v>107</v>
      </c>
      <c r="N4" s="74" t="s">
        <v>507</v>
      </c>
      <c r="O4" s="74" t="s">
        <v>508</v>
      </c>
    </row>
    <row r="5" spans="2:15" x14ac:dyDescent="0.25">
      <c r="B5" s="18" t="s">
        <v>74</v>
      </c>
      <c r="C5" s="132" t="s">
        <v>75</v>
      </c>
      <c r="D5" s="31" t="s">
        <v>76</v>
      </c>
      <c r="E5" s="78" t="s">
        <v>77</v>
      </c>
      <c r="F5" s="78" t="s">
        <v>78</v>
      </c>
      <c r="G5" s="149" t="s">
        <v>664</v>
      </c>
      <c r="H5" s="149" t="s">
        <v>665</v>
      </c>
      <c r="I5" s="91" t="s">
        <v>93</v>
      </c>
      <c r="J5" s="75" t="s">
        <v>94</v>
      </c>
      <c r="K5" s="75" t="s">
        <v>95</v>
      </c>
      <c r="L5" s="75" t="s">
        <v>96</v>
      </c>
      <c r="M5" s="78" t="s">
        <v>97</v>
      </c>
      <c r="N5" s="78" t="s">
        <v>98</v>
      </c>
      <c r="O5" s="78" t="s">
        <v>99</v>
      </c>
    </row>
    <row r="6" spans="2:15" ht="25.5" x14ac:dyDescent="0.25">
      <c r="B6" s="179">
        <v>1</v>
      </c>
      <c r="C6" s="143" t="s">
        <v>180</v>
      </c>
      <c r="D6" s="184" t="s">
        <v>21</v>
      </c>
      <c r="E6" s="207">
        <v>1029.5600978959999</v>
      </c>
      <c r="F6" s="142">
        <f>'Labour cost Escalation Factor'!$J$10</f>
        <v>0.27984207704983549</v>
      </c>
      <c r="G6" s="208">
        <f>E6*(1+F6)</f>
        <v>1317.6743341388485</v>
      </c>
      <c r="H6" s="208">
        <f>G6</f>
        <v>1317.6743341388485</v>
      </c>
      <c r="I6" s="209" t="s">
        <v>763</v>
      </c>
      <c r="J6" s="97">
        <v>1</v>
      </c>
      <c r="K6" s="97">
        <f>$G6*J6</f>
        <v>1317.6743341388485</v>
      </c>
      <c r="L6" s="97">
        <f>$H6*J6</f>
        <v>1317.6743341388485</v>
      </c>
      <c r="M6" s="97">
        <v>1</v>
      </c>
      <c r="N6" s="97">
        <f>$G6*M6</f>
        <v>1317.6743341388485</v>
      </c>
      <c r="O6" s="97">
        <f>$H6*M6</f>
        <v>1317.6743341388485</v>
      </c>
    </row>
    <row r="7" spans="2:15" ht="25.5" x14ac:dyDescent="0.25">
      <c r="B7" s="179">
        <v>2</v>
      </c>
      <c r="C7" s="143" t="s">
        <v>366</v>
      </c>
      <c r="D7" s="184" t="s">
        <v>3</v>
      </c>
      <c r="E7" s="124">
        <v>178.46081600000002</v>
      </c>
      <c r="F7" s="142">
        <f>'Labour cost Escalation Factor'!$J$10</f>
        <v>0.27984207704983549</v>
      </c>
      <c r="G7" s="185">
        <f t="shared" ref="G7:G37" si="0">E7*(1+F7)</f>
        <v>228.40166142144855</v>
      </c>
      <c r="H7" s="185">
        <f>G7*$H$1</f>
        <v>342.60249213217281</v>
      </c>
      <c r="I7" s="209" t="s">
        <v>763</v>
      </c>
      <c r="J7" s="97">
        <v>20</v>
      </c>
      <c r="K7" s="97">
        <f t="shared" ref="K7:K38" si="1">$G7*J7</f>
        <v>4568.0332284289707</v>
      </c>
      <c r="L7" s="97">
        <f t="shared" ref="L7:L38" si="2">$H7*J7</f>
        <v>6852.049842643456</v>
      </c>
      <c r="M7" s="97">
        <v>20</v>
      </c>
      <c r="N7" s="97">
        <f t="shared" ref="N7:N38" si="3">$G7*M7</f>
        <v>4568.0332284289707</v>
      </c>
      <c r="O7" s="97">
        <f t="shared" ref="O7:O38" si="4">$H7*M7</f>
        <v>6852.049842643456</v>
      </c>
    </row>
    <row r="8" spans="2:15" ht="25.5" x14ac:dyDescent="0.25">
      <c r="B8" s="179">
        <v>3</v>
      </c>
      <c r="C8" s="143" t="s">
        <v>127</v>
      </c>
      <c r="D8" s="184" t="s">
        <v>8</v>
      </c>
      <c r="E8" s="124">
        <f>('11 KV line labour'!E9/9)*8</f>
        <v>256.24722974400004</v>
      </c>
      <c r="F8" s="142">
        <f>'Labour cost Escalation Factor'!$J$10</f>
        <v>0.27984207704983549</v>
      </c>
      <c r="G8" s="185">
        <f t="shared" si="0"/>
        <v>327.9559867538274</v>
      </c>
      <c r="H8" s="185">
        <f>G8</f>
        <v>327.9559867538274</v>
      </c>
      <c r="I8" s="209" t="s">
        <v>763</v>
      </c>
      <c r="J8" s="97">
        <v>20</v>
      </c>
      <c r="K8" s="97">
        <f t="shared" si="1"/>
        <v>6559.1197350765478</v>
      </c>
      <c r="L8" s="97">
        <f t="shared" si="2"/>
        <v>6559.1197350765478</v>
      </c>
      <c r="M8" s="97">
        <v>20</v>
      </c>
      <c r="N8" s="97">
        <f t="shared" si="3"/>
        <v>6559.1197350765478</v>
      </c>
      <c r="O8" s="97">
        <f t="shared" si="4"/>
        <v>6559.1197350765478</v>
      </c>
    </row>
    <row r="9" spans="2:15" ht="51" x14ac:dyDescent="0.25">
      <c r="B9" s="395">
        <v>4</v>
      </c>
      <c r="C9" s="143" t="s">
        <v>181</v>
      </c>
      <c r="D9" s="184" t="s">
        <v>5</v>
      </c>
      <c r="E9" s="124">
        <v>257.38839191009998</v>
      </c>
      <c r="F9" s="142">
        <f>'Labour cost Escalation Factor'!$J$10</f>
        <v>0.27984207704983549</v>
      </c>
      <c r="G9" s="185">
        <f t="shared" si="0"/>
        <v>329.41649411073945</v>
      </c>
      <c r="H9" s="185">
        <f>G9</f>
        <v>329.41649411073945</v>
      </c>
      <c r="I9" s="209" t="s">
        <v>763</v>
      </c>
      <c r="J9" s="97">
        <v>20</v>
      </c>
      <c r="K9" s="97">
        <f t="shared" si="1"/>
        <v>6588.329882214789</v>
      </c>
      <c r="L9" s="97">
        <f t="shared" si="2"/>
        <v>6588.329882214789</v>
      </c>
      <c r="M9" s="97">
        <v>20</v>
      </c>
      <c r="N9" s="97">
        <f t="shared" si="3"/>
        <v>6588.329882214789</v>
      </c>
      <c r="O9" s="97">
        <f t="shared" si="4"/>
        <v>6588.329882214789</v>
      </c>
    </row>
    <row r="10" spans="2:15" x14ac:dyDescent="0.25">
      <c r="B10" s="396"/>
      <c r="C10" s="141" t="s">
        <v>168</v>
      </c>
      <c r="D10" s="184"/>
      <c r="E10" s="124"/>
      <c r="F10" s="142"/>
      <c r="G10" s="185"/>
      <c r="H10" s="185"/>
      <c r="I10" s="210"/>
      <c r="J10" s="97"/>
      <c r="K10" s="97">
        <f t="shared" si="1"/>
        <v>0</v>
      </c>
      <c r="L10" s="97">
        <f t="shared" si="2"/>
        <v>0</v>
      </c>
      <c r="M10" s="97"/>
      <c r="N10" s="97">
        <f t="shared" si="3"/>
        <v>0</v>
      </c>
      <c r="O10" s="97">
        <f t="shared" si="4"/>
        <v>0</v>
      </c>
    </row>
    <row r="11" spans="2:15" ht="38.25" x14ac:dyDescent="0.25">
      <c r="B11" s="396"/>
      <c r="C11" s="143" t="s">
        <v>129</v>
      </c>
      <c r="D11" s="184" t="s">
        <v>5</v>
      </c>
      <c r="E11" s="208">
        <v>67.033073734000013</v>
      </c>
      <c r="F11" s="142">
        <f>'Labour cost Escalation Factor'!$J$10</f>
        <v>0.27984207704983549</v>
      </c>
      <c r="G11" s="185">
        <f>E11*(1+F11)</f>
        <v>85.791748318757357</v>
      </c>
      <c r="H11" s="208">
        <f>G11</f>
        <v>85.791748318757357</v>
      </c>
      <c r="I11" s="209" t="s">
        <v>763</v>
      </c>
      <c r="J11" s="97">
        <v>20</v>
      </c>
      <c r="K11" s="97">
        <f t="shared" si="1"/>
        <v>1715.8349663751471</v>
      </c>
      <c r="L11" s="97">
        <f t="shared" si="2"/>
        <v>1715.8349663751471</v>
      </c>
      <c r="M11" s="97">
        <v>20</v>
      </c>
      <c r="N11" s="97">
        <f t="shared" si="3"/>
        <v>1715.8349663751471</v>
      </c>
      <c r="O11" s="97">
        <f t="shared" si="4"/>
        <v>1715.8349663751471</v>
      </c>
    </row>
    <row r="12" spans="2:15" ht="25.5" x14ac:dyDescent="0.25">
      <c r="B12" s="179">
        <v>7</v>
      </c>
      <c r="C12" s="143" t="s">
        <v>120</v>
      </c>
      <c r="D12" s="184" t="s">
        <v>3</v>
      </c>
      <c r="E12" s="207">
        <v>120.64647221000001</v>
      </c>
      <c r="F12" s="142">
        <f>'Labour cost Escalation Factor'!$J$10</f>
        <v>0.27984207704983549</v>
      </c>
      <c r="G12" s="208">
        <f>E12*(1+F12)</f>
        <v>154.40843158198169</v>
      </c>
      <c r="H12" s="208">
        <f>G12*$H$1</f>
        <v>231.61264737297253</v>
      </c>
      <c r="I12" s="209" t="s">
        <v>763</v>
      </c>
      <c r="J12" s="97">
        <v>20</v>
      </c>
      <c r="K12" s="97">
        <f t="shared" si="1"/>
        <v>3088.1686316396335</v>
      </c>
      <c r="L12" s="97">
        <f t="shared" si="2"/>
        <v>4632.2529474594503</v>
      </c>
      <c r="M12" s="97">
        <v>20</v>
      </c>
      <c r="N12" s="97">
        <f t="shared" si="3"/>
        <v>3088.1686316396335</v>
      </c>
      <c r="O12" s="97">
        <f t="shared" si="4"/>
        <v>4632.2529474594503</v>
      </c>
    </row>
    <row r="13" spans="2:15" ht="38.25" x14ac:dyDescent="0.25">
      <c r="B13" s="179">
        <v>8</v>
      </c>
      <c r="C13" s="143" t="s">
        <v>6</v>
      </c>
      <c r="D13" s="184" t="s">
        <v>7</v>
      </c>
      <c r="E13" s="124">
        <v>154.43401468440001</v>
      </c>
      <c r="F13" s="142">
        <f>'Labour cost Escalation Factor'!$J$10</f>
        <v>0.27984207704983549</v>
      </c>
      <c r="G13" s="185">
        <f t="shared" si="0"/>
        <v>197.65115012082731</v>
      </c>
      <c r="H13" s="185">
        <f t="shared" ref="H13:H37" si="5">G13</f>
        <v>197.65115012082731</v>
      </c>
      <c r="I13" s="209" t="s">
        <v>763</v>
      </c>
      <c r="J13" s="97">
        <v>20</v>
      </c>
      <c r="K13" s="97">
        <f t="shared" si="1"/>
        <v>3953.0230024165462</v>
      </c>
      <c r="L13" s="97">
        <f t="shared" si="2"/>
        <v>3953.0230024165462</v>
      </c>
      <c r="M13" s="97">
        <v>20</v>
      </c>
      <c r="N13" s="97">
        <f t="shared" si="3"/>
        <v>3953.0230024165462</v>
      </c>
      <c r="O13" s="97">
        <f t="shared" si="4"/>
        <v>3953.0230024165462</v>
      </c>
    </row>
    <row r="14" spans="2:15" ht="76.5" x14ac:dyDescent="0.25">
      <c r="B14" s="179">
        <v>9</v>
      </c>
      <c r="C14" s="143" t="s">
        <v>378</v>
      </c>
      <c r="D14" s="184" t="s">
        <v>365</v>
      </c>
      <c r="E14" s="208">
        <v>356.91111981800003</v>
      </c>
      <c r="F14" s="142"/>
      <c r="G14" s="208">
        <f>4428.8*0.0283*5</f>
        <v>626.67520000000002</v>
      </c>
      <c r="H14" s="208">
        <f>G14</f>
        <v>626.67520000000002</v>
      </c>
      <c r="I14" s="211" t="s">
        <v>357</v>
      </c>
      <c r="J14" s="97">
        <v>20</v>
      </c>
      <c r="K14" s="97">
        <f t="shared" si="1"/>
        <v>12533.504000000001</v>
      </c>
      <c r="L14" s="97">
        <f t="shared" si="2"/>
        <v>12533.504000000001</v>
      </c>
      <c r="M14" s="97">
        <v>20</v>
      </c>
      <c r="N14" s="97">
        <f t="shared" si="3"/>
        <v>12533.504000000001</v>
      </c>
      <c r="O14" s="97">
        <f t="shared" si="4"/>
        <v>12533.504000000001</v>
      </c>
    </row>
    <row r="15" spans="2:15" ht="25.5" x14ac:dyDescent="0.25">
      <c r="B15" s="179">
        <v>10</v>
      </c>
      <c r="C15" s="143" t="s">
        <v>182</v>
      </c>
      <c r="D15" s="184" t="s">
        <v>8</v>
      </c>
      <c r="E15" s="124">
        <v>144.1374341671</v>
      </c>
      <c r="F15" s="142">
        <f>'Labour cost Escalation Factor'!$J$10</f>
        <v>0.27984207704983549</v>
      </c>
      <c r="G15" s="185">
        <f t="shared" si="0"/>
        <v>184.47315312505521</v>
      </c>
      <c r="H15" s="185">
        <f t="shared" si="5"/>
        <v>184.47315312505521</v>
      </c>
      <c r="I15" s="209" t="s">
        <v>763</v>
      </c>
      <c r="J15" s="97">
        <v>20</v>
      </c>
      <c r="K15" s="97">
        <f t="shared" si="1"/>
        <v>3689.4630625011041</v>
      </c>
      <c r="L15" s="97">
        <f t="shared" si="2"/>
        <v>3689.4630625011041</v>
      </c>
      <c r="M15" s="97">
        <v>20</v>
      </c>
      <c r="N15" s="97">
        <f t="shared" si="3"/>
        <v>3689.4630625011041</v>
      </c>
      <c r="O15" s="97">
        <f t="shared" si="4"/>
        <v>3689.4630625011041</v>
      </c>
    </row>
    <row r="16" spans="2:15" ht="25.5" x14ac:dyDescent="0.25">
      <c r="B16" s="179">
        <v>11</v>
      </c>
      <c r="C16" s="143" t="s">
        <v>183</v>
      </c>
      <c r="D16" s="184" t="s">
        <v>8</v>
      </c>
      <c r="E16" s="124">
        <v>61.772952848200006</v>
      </c>
      <c r="F16" s="142">
        <f>'Labour cost Escalation Factor'!$J$10</f>
        <v>0.27984207704983549</v>
      </c>
      <c r="G16" s="185">
        <f t="shared" si="0"/>
        <v>79.05962427874185</v>
      </c>
      <c r="H16" s="185">
        <f t="shared" si="5"/>
        <v>79.05962427874185</v>
      </c>
      <c r="I16" s="209" t="s">
        <v>763</v>
      </c>
      <c r="J16" s="97">
        <v>20</v>
      </c>
      <c r="K16" s="97">
        <f t="shared" si="1"/>
        <v>1581.1924855748371</v>
      </c>
      <c r="L16" s="97">
        <f t="shared" si="2"/>
        <v>1581.1924855748371</v>
      </c>
      <c r="M16" s="97">
        <v>20</v>
      </c>
      <c r="N16" s="97">
        <f t="shared" si="3"/>
        <v>1581.1924855748371</v>
      </c>
      <c r="O16" s="97">
        <f t="shared" si="4"/>
        <v>1581.1924855748371</v>
      </c>
    </row>
    <row r="17" spans="2:15" ht="25.5" x14ac:dyDescent="0.25">
      <c r="B17" s="179">
        <v>12</v>
      </c>
      <c r="C17" s="143" t="s">
        <v>184</v>
      </c>
      <c r="D17" s="184" t="s">
        <v>8</v>
      </c>
      <c r="E17" s="124">
        <v>30.886476424100003</v>
      </c>
      <c r="F17" s="142">
        <f>'Labour cost Escalation Factor'!$J$10</f>
        <v>0.27984207704983549</v>
      </c>
      <c r="G17" s="185">
        <f t="shared" si="0"/>
        <v>39.529812139370925</v>
      </c>
      <c r="H17" s="185">
        <f t="shared" si="5"/>
        <v>39.529812139370925</v>
      </c>
      <c r="I17" s="209" t="s">
        <v>763</v>
      </c>
      <c r="J17" s="97">
        <v>20</v>
      </c>
      <c r="K17" s="97">
        <f t="shared" si="1"/>
        <v>790.59624278741853</v>
      </c>
      <c r="L17" s="97">
        <f t="shared" si="2"/>
        <v>790.59624278741853</v>
      </c>
      <c r="M17" s="97">
        <v>20</v>
      </c>
      <c r="N17" s="97">
        <f t="shared" si="3"/>
        <v>790.59624278741853</v>
      </c>
      <c r="O17" s="97">
        <f t="shared" si="4"/>
        <v>790.59624278741853</v>
      </c>
    </row>
    <row r="18" spans="2:15" ht="38.25" x14ac:dyDescent="0.25">
      <c r="B18" s="179">
        <v>13</v>
      </c>
      <c r="C18" s="143" t="s">
        <v>185</v>
      </c>
      <c r="D18" s="184" t="s">
        <v>9</v>
      </c>
      <c r="E18" s="124">
        <v>267.68474299999997</v>
      </c>
      <c r="F18" s="142">
        <f>'Labour cost Escalation Factor'!$J$10</f>
        <v>0.27984207704983549</v>
      </c>
      <c r="G18" s="185">
        <f t="shared" si="0"/>
        <v>342.59419747567136</v>
      </c>
      <c r="H18" s="185">
        <f t="shared" si="5"/>
        <v>342.59419747567136</v>
      </c>
      <c r="I18" s="209" t="s">
        <v>763</v>
      </c>
      <c r="J18" s="97">
        <v>20</v>
      </c>
      <c r="K18" s="97">
        <f t="shared" si="1"/>
        <v>6851.8839495134271</v>
      </c>
      <c r="L18" s="97">
        <f t="shared" si="2"/>
        <v>6851.8839495134271</v>
      </c>
      <c r="M18" s="97">
        <v>20</v>
      </c>
      <c r="N18" s="97">
        <f t="shared" si="3"/>
        <v>6851.8839495134271</v>
      </c>
      <c r="O18" s="97">
        <f t="shared" si="4"/>
        <v>6851.8839495134271</v>
      </c>
    </row>
    <row r="19" spans="2:15" ht="38.25" x14ac:dyDescent="0.25">
      <c r="B19" s="395">
        <v>14</v>
      </c>
      <c r="C19" s="143" t="s">
        <v>193</v>
      </c>
      <c r="D19" s="184"/>
      <c r="E19" s="124"/>
      <c r="F19" s="142"/>
      <c r="G19" s="185"/>
      <c r="H19" s="185"/>
      <c r="I19" s="210"/>
      <c r="J19" s="97"/>
      <c r="K19" s="97">
        <f t="shared" si="1"/>
        <v>0</v>
      </c>
      <c r="L19" s="97">
        <f t="shared" si="2"/>
        <v>0</v>
      </c>
      <c r="M19" s="97"/>
      <c r="N19" s="97">
        <f t="shared" si="3"/>
        <v>0</v>
      </c>
      <c r="O19" s="97">
        <f t="shared" si="4"/>
        <v>0</v>
      </c>
    </row>
    <row r="20" spans="2:15" ht="25.5" x14ac:dyDescent="0.25">
      <c r="B20" s="396"/>
      <c r="C20" s="143" t="s">
        <v>186</v>
      </c>
      <c r="D20" s="184" t="s">
        <v>128</v>
      </c>
      <c r="E20" s="124">
        <v>5336</v>
      </c>
      <c r="F20" s="142">
        <f>'Labour cost Escalation Factor'!$J$10</f>
        <v>0.27984207704983549</v>
      </c>
      <c r="G20" s="185">
        <f>E20*(1+F20)</f>
        <v>6829.2373231379224</v>
      </c>
      <c r="H20" s="185">
        <f>G20</f>
        <v>6829.2373231379224</v>
      </c>
      <c r="I20" s="209" t="s">
        <v>763</v>
      </c>
      <c r="J20" s="97"/>
      <c r="K20" s="97">
        <f t="shared" si="1"/>
        <v>0</v>
      </c>
      <c r="L20" s="97">
        <f t="shared" si="2"/>
        <v>0</v>
      </c>
      <c r="M20" s="97"/>
      <c r="N20" s="97">
        <f t="shared" si="3"/>
        <v>0</v>
      </c>
      <c r="O20" s="97">
        <f t="shared" si="4"/>
        <v>0</v>
      </c>
    </row>
    <row r="21" spans="2:15" ht="25.5" x14ac:dyDescent="0.25">
      <c r="B21" s="396"/>
      <c r="C21" s="143" t="s">
        <v>187</v>
      </c>
      <c r="D21" s="184" t="s">
        <v>128</v>
      </c>
      <c r="E21" s="185">
        <v>4802.3999655094376</v>
      </c>
      <c r="F21" s="142">
        <f>'Labour cost Escalation Factor'!$J$10</f>
        <v>0.27984207704983549</v>
      </c>
      <c r="G21" s="185">
        <f>E21*(1+F21)</f>
        <v>6146.3135466816575</v>
      </c>
      <c r="H21" s="185">
        <f>G21</f>
        <v>6146.3135466816575</v>
      </c>
      <c r="I21" s="209" t="s">
        <v>763</v>
      </c>
      <c r="J21" s="97"/>
      <c r="K21" s="97">
        <f t="shared" si="1"/>
        <v>0</v>
      </c>
      <c r="L21" s="97">
        <f t="shared" si="2"/>
        <v>0</v>
      </c>
      <c r="M21" s="97"/>
      <c r="N21" s="97">
        <f t="shared" si="3"/>
        <v>0</v>
      </c>
      <c r="O21" s="97">
        <f t="shared" si="4"/>
        <v>0</v>
      </c>
    </row>
    <row r="22" spans="2:15" ht="25.5" x14ac:dyDescent="0.25">
      <c r="B22" s="396"/>
      <c r="C22" s="143" t="s">
        <v>188</v>
      </c>
      <c r="D22" s="184" t="s">
        <v>397</v>
      </c>
      <c r="E22" s="185">
        <v>3281.9092814514529</v>
      </c>
      <c r="F22" s="142">
        <f>'Labour cost Escalation Factor'!$J$10</f>
        <v>0.27984207704983549</v>
      </c>
      <c r="G22" s="185">
        <f>E22*(1+F22)</f>
        <v>4200.3255914619604</v>
      </c>
      <c r="H22" s="185">
        <f>G22</f>
        <v>4200.3255914619604</v>
      </c>
      <c r="I22" s="209" t="s">
        <v>763</v>
      </c>
      <c r="J22" s="97"/>
      <c r="K22" s="97">
        <f t="shared" si="1"/>
        <v>0</v>
      </c>
      <c r="L22" s="97">
        <f t="shared" si="2"/>
        <v>0</v>
      </c>
      <c r="M22" s="97"/>
      <c r="N22" s="97">
        <f t="shared" si="3"/>
        <v>0</v>
      </c>
      <c r="O22" s="97">
        <f t="shared" si="4"/>
        <v>0</v>
      </c>
    </row>
    <row r="23" spans="2:15" ht="25.5" x14ac:dyDescent="0.25">
      <c r="B23" s="397"/>
      <c r="C23" s="143" t="s">
        <v>189</v>
      </c>
      <c r="D23" s="184" t="s">
        <v>397</v>
      </c>
      <c r="E23" s="185">
        <v>2398.3340678458908</v>
      </c>
      <c r="F23" s="142">
        <f>'Labour cost Escalation Factor'!$J$10</f>
        <v>0.27984207704983549</v>
      </c>
      <c r="G23" s="185">
        <f>E23*(1+F23)</f>
        <v>3069.4888548512663</v>
      </c>
      <c r="H23" s="185">
        <f>G23</f>
        <v>3069.4888548512663</v>
      </c>
      <c r="I23" s="209" t="s">
        <v>763</v>
      </c>
      <c r="J23" s="97"/>
      <c r="K23" s="97">
        <f t="shared" si="1"/>
        <v>0</v>
      </c>
      <c r="L23" s="97">
        <f t="shared" si="2"/>
        <v>0</v>
      </c>
      <c r="M23" s="97">
        <v>4.2</v>
      </c>
      <c r="N23" s="97">
        <f t="shared" si="3"/>
        <v>12891.853190375319</v>
      </c>
      <c r="O23" s="97">
        <f t="shared" si="4"/>
        <v>12891.853190375319</v>
      </c>
    </row>
    <row r="24" spans="2:15" ht="38.25" x14ac:dyDescent="0.25">
      <c r="B24" s="395">
        <v>15</v>
      </c>
      <c r="C24" s="143" t="s">
        <v>194</v>
      </c>
      <c r="D24" s="184"/>
      <c r="E24" s="124"/>
      <c r="F24" s="142"/>
      <c r="G24" s="185"/>
      <c r="H24" s="185"/>
      <c r="I24" s="210"/>
      <c r="J24" s="126"/>
      <c r="K24" s="97">
        <f t="shared" si="1"/>
        <v>0</v>
      </c>
      <c r="L24" s="97">
        <f t="shared" si="2"/>
        <v>0</v>
      </c>
      <c r="M24" s="126"/>
      <c r="N24" s="97">
        <f t="shared" si="3"/>
        <v>0</v>
      </c>
      <c r="O24" s="97">
        <f t="shared" si="4"/>
        <v>0</v>
      </c>
    </row>
    <row r="25" spans="2:15" ht="25.5" x14ac:dyDescent="0.25">
      <c r="B25" s="396"/>
      <c r="C25" s="143" t="s">
        <v>186</v>
      </c>
      <c r="D25" s="184" t="s">
        <v>397</v>
      </c>
      <c r="E25" s="124">
        <v>3191.6073360000005</v>
      </c>
      <c r="F25" s="142">
        <f>'Labour cost Escalation Factor'!$J$10</f>
        <v>0.27984207704983549</v>
      </c>
      <c r="G25" s="185">
        <f>E25*(1+F25)</f>
        <v>4084.7533620337331</v>
      </c>
      <c r="H25" s="185">
        <f>G25</f>
        <v>4084.7533620337331</v>
      </c>
      <c r="I25" s="209" t="s">
        <v>763</v>
      </c>
      <c r="J25" s="125"/>
      <c r="K25" s="97">
        <f t="shared" si="1"/>
        <v>0</v>
      </c>
      <c r="L25" s="97">
        <f t="shared" si="2"/>
        <v>0</v>
      </c>
      <c r="M25" s="125"/>
      <c r="N25" s="97">
        <f t="shared" si="3"/>
        <v>0</v>
      </c>
      <c r="O25" s="97">
        <f t="shared" si="4"/>
        <v>0</v>
      </c>
    </row>
    <row r="26" spans="2:15" ht="25.5" x14ac:dyDescent="0.25">
      <c r="B26" s="396"/>
      <c r="C26" s="143" t="s">
        <v>187</v>
      </c>
      <c r="D26" s="184" t="s">
        <v>397</v>
      </c>
      <c r="E26" s="124">
        <v>2872.463530772</v>
      </c>
      <c r="F26" s="142">
        <f>'Labour cost Escalation Factor'!$J$10</f>
        <v>0.27984207704983549</v>
      </c>
      <c r="G26" s="185">
        <f t="shared" si="0"/>
        <v>3676.2996914731407</v>
      </c>
      <c r="H26" s="185">
        <f t="shared" si="5"/>
        <v>3676.2996914731407</v>
      </c>
      <c r="I26" s="209" t="s">
        <v>763</v>
      </c>
      <c r="J26" s="125"/>
      <c r="K26" s="97">
        <f t="shared" si="1"/>
        <v>0</v>
      </c>
      <c r="L26" s="97">
        <f t="shared" si="2"/>
        <v>0</v>
      </c>
      <c r="M26" s="125"/>
      <c r="N26" s="97">
        <f t="shared" si="3"/>
        <v>0</v>
      </c>
      <c r="O26" s="97">
        <f t="shared" si="4"/>
        <v>0</v>
      </c>
    </row>
    <row r="27" spans="2:15" ht="25.5" x14ac:dyDescent="0.25">
      <c r="B27" s="396"/>
      <c r="C27" s="143" t="s">
        <v>188</v>
      </c>
      <c r="D27" s="184" t="s">
        <v>397</v>
      </c>
      <c r="E27" s="124">
        <v>1963.0111589989999</v>
      </c>
      <c r="F27" s="142">
        <f>'Labour cost Escalation Factor'!$J$10</f>
        <v>0.27984207704983549</v>
      </c>
      <c r="G27" s="185">
        <f t="shared" si="0"/>
        <v>2512.344279005285</v>
      </c>
      <c r="H27" s="185">
        <f t="shared" si="5"/>
        <v>2512.344279005285</v>
      </c>
      <c r="I27" s="209" t="s">
        <v>763</v>
      </c>
      <c r="J27" s="125"/>
      <c r="K27" s="97">
        <f t="shared" si="1"/>
        <v>0</v>
      </c>
      <c r="L27" s="97">
        <f t="shared" si="2"/>
        <v>0</v>
      </c>
      <c r="M27" s="125"/>
      <c r="N27" s="97">
        <f t="shared" si="3"/>
        <v>0</v>
      </c>
      <c r="O27" s="97">
        <f t="shared" si="4"/>
        <v>0</v>
      </c>
    </row>
    <row r="28" spans="2:15" ht="25.5" x14ac:dyDescent="0.25">
      <c r="B28" s="397"/>
      <c r="C28" s="143" t="s">
        <v>189</v>
      </c>
      <c r="D28" s="184" t="s">
        <v>397</v>
      </c>
      <c r="E28" s="124">
        <v>1434.517573291</v>
      </c>
      <c r="F28" s="142">
        <f>'Labour cost Escalation Factor'!$J$10</f>
        <v>0.27984207704983549</v>
      </c>
      <c r="G28" s="185">
        <f t="shared" si="0"/>
        <v>1835.955950565243</v>
      </c>
      <c r="H28" s="185">
        <f t="shared" si="5"/>
        <v>1835.955950565243</v>
      </c>
      <c r="I28" s="209" t="s">
        <v>763</v>
      </c>
      <c r="J28" s="97">
        <v>4.2</v>
      </c>
      <c r="K28" s="97">
        <f t="shared" si="1"/>
        <v>7711.0149923740209</v>
      </c>
      <c r="L28" s="97">
        <f t="shared" si="2"/>
        <v>7711.0149923740209</v>
      </c>
      <c r="M28" s="125"/>
      <c r="N28" s="97">
        <f t="shared" si="3"/>
        <v>0</v>
      </c>
      <c r="O28" s="97">
        <f t="shared" si="4"/>
        <v>0</v>
      </c>
    </row>
    <row r="29" spans="2:15" ht="25.5" x14ac:dyDescent="0.25">
      <c r="B29" s="179">
        <v>16</v>
      </c>
      <c r="C29" s="143" t="s">
        <v>10</v>
      </c>
      <c r="D29" s="184" t="s">
        <v>397</v>
      </c>
      <c r="E29" s="124">
        <v>909.41972049499998</v>
      </c>
      <c r="F29" s="142">
        <f>'Labour cost Escalation Factor'!$J$10</f>
        <v>0.27984207704983549</v>
      </c>
      <c r="G29" s="185">
        <f t="shared" si="0"/>
        <v>1163.9136239884017</v>
      </c>
      <c r="H29" s="185">
        <f t="shared" si="5"/>
        <v>1163.9136239884017</v>
      </c>
      <c r="I29" s="209" t="s">
        <v>763</v>
      </c>
      <c r="J29" s="97">
        <v>1.4</v>
      </c>
      <c r="K29" s="97">
        <f t="shared" si="1"/>
        <v>1629.4790735837623</v>
      </c>
      <c r="L29" s="97">
        <f t="shared" si="2"/>
        <v>1629.4790735837623</v>
      </c>
      <c r="M29" s="97">
        <v>1.4</v>
      </c>
      <c r="N29" s="97">
        <f t="shared" si="3"/>
        <v>1629.4790735837623</v>
      </c>
      <c r="O29" s="97">
        <f t="shared" si="4"/>
        <v>1629.4790735837623</v>
      </c>
    </row>
    <row r="30" spans="2:15" ht="25.5" x14ac:dyDescent="0.25">
      <c r="B30" s="179">
        <v>17</v>
      </c>
      <c r="C30" s="143" t="s">
        <v>190</v>
      </c>
      <c r="D30" s="184" t="s">
        <v>11</v>
      </c>
      <c r="E30" s="124">
        <v>17.174572227999999</v>
      </c>
      <c r="F30" s="142">
        <f>'Labour cost Escalation Factor'!$J$10</f>
        <v>0.27984207704983549</v>
      </c>
      <c r="G30" s="185">
        <f t="shared" si="0"/>
        <v>21.980740192725939</v>
      </c>
      <c r="H30" s="185">
        <f t="shared" si="5"/>
        <v>21.980740192725939</v>
      </c>
      <c r="I30" s="209" t="s">
        <v>763</v>
      </c>
      <c r="J30" s="97">
        <v>80</v>
      </c>
      <c r="K30" s="97">
        <f t="shared" si="1"/>
        <v>1758.459215418075</v>
      </c>
      <c r="L30" s="97">
        <f t="shared" si="2"/>
        <v>1758.459215418075</v>
      </c>
      <c r="M30" s="97">
        <v>80</v>
      </c>
      <c r="N30" s="97">
        <f t="shared" si="3"/>
        <v>1758.459215418075</v>
      </c>
      <c r="O30" s="97">
        <f t="shared" si="4"/>
        <v>1758.459215418075</v>
      </c>
    </row>
    <row r="31" spans="2:15" ht="25.5" x14ac:dyDescent="0.25">
      <c r="B31" s="179">
        <v>18</v>
      </c>
      <c r="C31" s="143" t="s">
        <v>191</v>
      </c>
      <c r="D31" s="184" t="s">
        <v>11</v>
      </c>
      <c r="E31" s="124">
        <v>34.316493178000002</v>
      </c>
      <c r="F31" s="142">
        <f>'Labour cost Escalation Factor'!$J$10</f>
        <v>0.27984207704983549</v>
      </c>
      <c r="G31" s="185">
        <f t="shared" si="0"/>
        <v>43.919691905998036</v>
      </c>
      <c r="H31" s="185">
        <f t="shared" si="5"/>
        <v>43.919691905998036</v>
      </c>
      <c r="I31" s="209" t="s">
        <v>763</v>
      </c>
      <c r="J31" s="97">
        <v>80</v>
      </c>
      <c r="K31" s="97">
        <f t="shared" si="1"/>
        <v>3513.5753524798429</v>
      </c>
      <c r="L31" s="97">
        <f t="shared" si="2"/>
        <v>3513.5753524798429</v>
      </c>
      <c r="M31" s="97">
        <v>80</v>
      </c>
      <c r="N31" s="97">
        <f t="shared" si="3"/>
        <v>3513.5753524798429</v>
      </c>
      <c r="O31" s="97">
        <f t="shared" si="4"/>
        <v>3513.5753524798429</v>
      </c>
    </row>
    <row r="32" spans="2:15" ht="25.5" x14ac:dyDescent="0.25">
      <c r="B32" s="179">
        <v>19</v>
      </c>
      <c r="C32" s="143" t="s">
        <v>355</v>
      </c>
      <c r="D32" s="180" t="s">
        <v>651</v>
      </c>
      <c r="E32" s="113">
        <f>10.725944823*3.2</f>
        <v>34.323023433600007</v>
      </c>
      <c r="F32" s="142">
        <f>'Labour cost Escalation Factor'!$J$10</f>
        <v>0.27984207704983549</v>
      </c>
      <c r="G32" s="115">
        <f>E32*(1+F32)</f>
        <v>43.928049601888809</v>
      </c>
      <c r="H32" s="115">
        <f t="shared" si="5"/>
        <v>43.928049601888809</v>
      </c>
      <c r="I32" s="209" t="s">
        <v>763</v>
      </c>
      <c r="J32" s="97">
        <v>400</v>
      </c>
      <c r="K32" s="97">
        <f t="shared" si="1"/>
        <v>17571.219840755522</v>
      </c>
      <c r="L32" s="97">
        <f t="shared" si="2"/>
        <v>17571.219840755522</v>
      </c>
      <c r="M32" s="97">
        <v>400</v>
      </c>
      <c r="N32" s="97">
        <f t="shared" si="3"/>
        <v>17571.219840755522</v>
      </c>
      <c r="O32" s="97">
        <f t="shared" si="4"/>
        <v>17571.219840755522</v>
      </c>
    </row>
    <row r="33" spans="2:15" ht="25.5" x14ac:dyDescent="0.25">
      <c r="B33" s="179">
        <v>20</v>
      </c>
      <c r="C33" s="143" t="s">
        <v>650</v>
      </c>
      <c r="D33" s="180" t="s">
        <v>175</v>
      </c>
      <c r="E33" s="113">
        <v>26.806699238000004</v>
      </c>
      <c r="F33" s="142">
        <f>'Labour cost Escalation Factor'!$J$10</f>
        <v>0.27984207704983549</v>
      </c>
      <c r="G33" s="115">
        <f>E33*(1+F33)</f>
        <v>34.308341631612166</v>
      </c>
      <c r="H33" s="115">
        <f t="shared" si="5"/>
        <v>34.308341631612166</v>
      </c>
      <c r="I33" s="209" t="s">
        <v>763</v>
      </c>
      <c r="J33" s="97">
        <v>20</v>
      </c>
      <c r="K33" s="97">
        <f t="shared" si="1"/>
        <v>686.16683263224331</v>
      </c>
      <c r="L33" s="97">
        <f t="shared" si="2"/>
        <v>686.16683263224331</v>
      </c>
      <c r="M33" s="97">
        <v>20</v>
      </c>
      <c r="N33" s="97">
        <f t="shared" si="3"/>
        <v>686.16683263224331</v>
      </c>
      <c r="O33" s="97">
        <f t="shared" si="4"/>
        <v>686.16683263224331</v>
      </c>
    </row>
    <row r="34" spans="2:15" ht="25.5" x14ac:dyDescent="0.25">
      <c r="B34" s="179">
        <v>21</v>
      </c>
      <c r="C34" s="143" t="s">
        <v>192</v>
      </c>
      <c r="D34" s="184" t="s">
        <v>11</v>
      </c>
      <c r="E34" s="124">
        <v>30.871783349000001</v>
      </c>
      <c r="F34" s="142">
        <f>'Labour cost Escalation Factor'!$J$10</f>
        <v>0.27984207704983549</v>
      </c>
      <c r="G34" s="185">
        <f>E34*(1+F34)</f>
        <v>39.511007323616688</v>
      </c>
      <c r="H34" s="185">
        <f>G34</f>
        <v>39.511007323616688</v>
      </c>
      <c r="I34" s="209" t="s">
        <v>763</v>
      </c>
      <c r="J34" s="97">
        <v>190</v>
      </c>
      <c r="K34" s="97">
        <f t="shared" si="1"/>
        <v>7507.0913914871708</v>
      </c>
      <c r="L34" s="97">
        <f t="shared" si="2"/>
        <v>7507.0913914871708</v>
      </c>
      <c r="M34" s="97">
        <v>190</v>
      </c>
      <c r="N34" s="97">
        <f t="shared" si="3"/>
        <v>7507.0913914871708</v>
      </c>
      <c r="O34" s="97">
        <f t="shared" si="4"/>
        <v>7507.0913914871708</v>
      </c>
    </row>
    <row r="35" spans="2:15" ht="25.5" x14ac:dyDescent="0.25">
      <c r="B35" s="179">
        <v>22</v>
      </c>
      <c r="C35" s="143" t="s">
        <v>653</v>
      </c>
      <c r="D35" s="180" t="s">
        <v>83</v>
      </c>
      <c r="E35" s="115">
        <v>268.11596929699999</v>
      </c>
      <c r="F35" s="142">
        <f>'Labour cost Escalation Factor'!$J$10</f>
        <v>0.27984207704983549</v>
      </c>
      <c r="G35" s="115">
        <f>E35*(1+F35)</f>
        <v>343.14609903530243</v>
      </c>
      <c r="H35" s="115">
        <f>G35</f>
        <v>343.14609903530243</v>
      </c>
      <c r="I35" s="209" t="s">
        <v>763</v>
      </c>
      <c r="J35" s="97">
        <v>4.2</v>
      </c>
      <c r="K35" s="97">
        <f t="shared" si="1"/>
        <v>1441.2136159482702</v>
      </c>
      <c r="L35" s="97">
        <f t="shared" si="2"/>
        <v>1441.2136159482702</v>
      </c>
      <c r="M35" s="97">
        <v>4.2</v>
      </c>
      <c r="N35" s="97">
        <f t="shared" si="3"/>
        <v>1441.2136159482702</v>
      </c>
      <c r="O35" s="97">
        <f t="shared" si="4"/>
        <v>1441.2136159482702</v>
      </c>
    </row>
    <row r="36" spans="2:15" ht="25.5" x14ac:dyDescent="0.25">
      <c r="B36" s="179">
        <v>23</v>
      </c>
      <c r="C36" s="143" t="s">
        <v>654</v>
      </c>
      <c r="D36" s="180" t="s">
        <v>83</v>
      </c>
      <c r="E36" s="115" t="s">
        <v>90</v>
      </c>
      <c r="F36" s="142"/>
      <c r="G36" s="115">
        <f>(((9*'Labour cost Escalation Factor'!I5)+('Labour cost Escalation Factor'!I6*1))*1.15*1.2)/5</f>
        <v>661.14972</v>
      </c>
      <c r="H36" s="115">
        <f>G36</f>
        <v>661.14972</v>
      </c>
      <c r="I36" s="209" t="s">
        <v>380</v>
      </c>
      <c r="J36" s="97"/>
      <c r="K36" s="97">
        <f t="shared" si="1"/>
        <v>0</v>
      </c>
      <c r="L36" s="97">
        <f t="shared" si="2"/>
        <v>0</v>
      </c>
      <c r="M36" s="97"/>
      <c r="N36" s="97">
        <f t="shared" si="3"/>
        <v>0</v>
      </c>
      <c r="O36" s="97">
        <f t="shared" si="4"/>
        <v>0</v>
      </c>
    </row>
    <row r="37" spans="2:15" ht="25.5" x14ac:dyDescent="0.25">
      <c r="B37" s="179">
        <v>24</v>
      </c>
      <c r="C37" s="135" t="s">
        <v>19</v>
      </c>
      <c r="D37" s="212" t="s">
        <v>83</v>
      </c>
      <c r="E37" s="208">
        <v>804.34790789099998</v>
      </c>
      <c r="F37" s="142">
        <f>'Labour cost Escalation Factor'!$J$10</f>
        <v>0.27984207704983549</v>
      </c>
      <c r="G37" s="208">
        <f t="shared" si="0"/>
        <v>1029.4382971059072</v>
      </c>
      <c r="H37" s="208">
        <f t="shared" si="5"/>
        <v>1029.4382971059072</v>
      </c>
      <c r="I37" s="209" t="s">
        <v>763</v>
      </c>
      <c r="J37" s="97">
        <v>4.2</v>
      </c>
      <c r="K37" s="97">
        <f t="shared" si="1"/>
        <v>4323.6408478448102</v>
      </c>
      <c r="L37" s="97">
        <f t="shared" si="2"/>
        <v>4323.6408478448102</v>
      </c>
      <c r="M37" s="97">
        <v>4.2</v>
      </c>
      <c r="N37" s="97">
        <f t="shared" si="3"/>
        <v>4323.6408478448102</v>
      </c>
      <c r="O37" s="97">
        <f t="shared" si="4"/>
        <v>4323.6408478448102</v>
      </c>
    </row>
    <row r="38" spans="2:15" ht="25.5" x14ac:dyDescent="0.25">
      <c r="B38" s="179">
        <v>25</v>
      </c>
      <c r="C38" s="135" t="s">
        <v>655</v>
      </c>
      <c r="D38" s="119" t="s">
        <v>20</v>
      </c>
      <c r="E38" s="115">
        <v>4810.382182628</v>
      </c>
      <c r="F38" s="142"/>
      <c r="G38" s="115">
        <f>((20*'Labour cost Escalation Factor'!I4)+(2*'Labour cost Escalation Factor'!I6))*1.15*1.2</f>
        <v>6961.0787999999993</v>
      </c>
      <c r="H38" s="115">
        <f>G38</f>
        <v>6961.0787999999993</v>
      </c>
      <c r="I38" s="209" t="s">
        <v>792</v>
      </c>
      <c r="J38" s="97">
        <v>4.2</v>
      </c>
      <c r="K38" s="97">
        <f t="shared" si="1"/>
        <v>29236.53096</v>
      </c>
      <c r="L38" s="97">
        <f t="shared" si="2"/>
        <v>29236.53096</v>
      </c>
      <c r="M38" s="97">
        <v>4.2</v>
      </c>
      <c r="N38" s="97">
        <f t="shared" si="3"/>
        <v>29236.53096</v>
      </c>
      <c r="O38" s="97">
        <f t="shared" si="4"/>
        <v>29236.53096</v>
      </c>
    </row>
    <row r="39" spans="2:15" x14ac:dyDescent="0.25">
      <c r="B39" s="412" t="s">
        <v>108</v>
      </c>
      <c r="C39" s="412"/>
      <c r="D39" s="412"/>
      <c r="E39" s="412"/>
      <c r="F39" s="412"/>
      <c r="G39" s="412"/>
      <c r="H39" s="185"/>
      <c r="I39" s="213"/>
      <c r="J39" s="125"/>
      <c r="K39" s="126">
        <f>SUM(K6:K38)</f>
        <v>128615.215643191</v>
      </c>
      <c r="L39" s="126">
        <f>SUM(L6:L38)</f>
        <v>132443.31657322531</v>
      </c>
      <c r="M39" s="125"/>
      <c r="N39" s="126">
        <f>SUM(N6:N38)</f>
        <v>133796.05384119228</v>
      </c>
      <c r="O39" s="126">
        <f>SUM(O6:O38)</f>
        <v>137624.1547712266</v>
      </c>
    </row>
    <row r="40" spans="2:15" x14ac:dyDescent="0.25">
      <c r="B40" s="189"/>
      <c r="C40" s="187"/>
      <c r="D40" s="203"/>
      <c r="E40" s="204"/>
      <c r="F40" s="205"/>
      <c r="G40" s="202"/>
      <c r="H40" s="186"/>
      <c r="I40" s="214"/>
    </row>
    <row r="41" spans="2:15" x14ac:dyDescent="0.25">
      <c r="B41" s="189"/>
      <c r="C41" s="187"/>
      <c r="D41" s="203"/>
      <c r="E41" s="204"/>
      <c r="F41" s="205"/>
      <c r="G41" s="202"/>
      <c r="H41" s="186"/>
      <c r="I41" s="214"/>
    </row>
    <row r="42" spans="2:15" x14ac:dyDescent="0.25">
      <c r="B42" s="189"/>
      <c r="C42" s="187"/>
      <c r="D42" s="203"/>
      <c r="E42" s="204"/>
      <c r="F42" s="205"/>
      <c r="G42" s="202"/>
      <c r="H42" s="186"/>
      <c r="I42" s="214"/>
    </row>
    <row r="43" spans="2:15" x14ac:dyDescent="0.25">
      <c r="B43" s="189"/>
      <c r="C43" s="187"/>
      <c r="D43" s="203"/>
      <c r="E43" s="204"/>
      <c r="F43" s="205"/>
      <c r="G43" s="202"/>
      <c r="H43" s="186"/>
      <c r="I43" s="214"/>
    </row>
    <row r="44" spans="2:15" x14ac:dyDescent="0.25">
      <c r="B44" s="189"/>
      <c r="C44" s="187"/>
      <c r="D44" s="203"/>
      <c r="E44" s="204"/>
      <c r="F44" s="205"/>
      <c r="G44" s="202"/>
      <c r="H44" s="186"/>
      <c r="I44" s="214"/>
    </row>
  </sheetData>
  <mergeCells count="14">
    <mergeCell ref="J3:L3"/>
    <mergeCell ref="M3:O3"/>
    <mergeCell ref="B2:D2"/>
    <mergeCell ref="I3:I4"/>
    <mergeCell ref="B39:G39"/>
    <mergeCell ref="B3:B4"/>
    <mergeCell ref="C3:C4"/>
    <mergeCell ref="D3:D4"/>
    <mergeCell ref="E3:E4"/>
    <mergeCell ref="F3:F4"/>
    <mergeCell ref="G3:H3"/>
    <mergeCell ref="B9:B11"/>
    <mergeCell ref="B19:B23"/>
    <mergeCell ref="B24:B28"/>
  </mergeCells>
  <printOptions horizontalCentered="1"/>
  <pageMargins left="0.53" right="0.57999999999999996" top="0.95" bottom="0.57999999999999996" header="0.34" footer="0.3"/>
  <pageSetup paperSize="9" scale="80" orientation="landscape" r:id="rId1"/>
  <headerFooter>
    <oddHeader>&amp;L&amp;G&amp;C&amp;"-,Bold"&amp;20JBVNL Cost Data Book&amp;"-,Regular"&amp;11
&amp;"-,Bold Italic"&amp;14 LT Line Labour Cost Analysis&amp;R
&amp;G</oddHeader>
    <oddFooter>&amp;L&amp;"-,Bold"&amp;14 2016-17&amp;RPage &amp;P of &amp;N</oddFooter>
  </headerFooter>
  <colBreaks count="1" manualBreakCount="1">
    <brk id="9" min="1" max="37"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B1:U43"/>
  <sheetViews>
    <sheetView zoomScaleNormal="100" workbookViewId="0">
      <pane xSplit="4" ySplit="5" topLeftCell="E6" activePane="bottomRight" state="frozen"/>
      <selection activeCell="D12" sqref="D12"/>
      <selection pane="topRight" activeCell="D12" sqref="D12"/>
      <selection pane="bottomLeft" activeCell="D12" sqref="D12"/>
      <selection pane="bottomRight" activeCell="E6" sqref="E6"/>
    </sheetView>
  </sheetViews>
  <sheetFormatPr defaultColWidth="12.5703125" defaultRowHeight="15.75" x14ac:dyDescent="0.25"/>
  <cols>
    <col min="1" max="1" width="5.5703125" style="38" bestFit="1" customWidth="1"/>
    <col min="2" max="2" width="5.85546875" style="38" bestFit="1" customWidth="1"/>
    <col min="3" max="3" width="62.28515625" style="38" customWidth="1"/>
    <col min="4" max="4" width="11.42578125" style="38" bestFit="1" customWidth="1"/>
    <col min="5" max="5" width="15.28515625" style="38" customWidth="1"/>
    <col min="6" max="6" width="25.42578125" style="38" customWidth="1"/>
    <col min="7" max="7" width="12.5703125" style="38" customWidth="1"/>
    <col min="8" max="8" width="10" style="38" customWidth="1"/>
    <col min="9" max="9" width="28.7109375" style="38" customWidth="1"/>
    <col min="10" max="10" width="6.5703125" style="38" bestFit="1" customWidth="1"/>
    <col min="11" max="12" width="11.42578125" style="38" bestFit="1" customWidth="1"/>
    <col min="13" max="13" width="6.5703125" style="38" bestFit="1" customWidth="1"/>
    <col min="14" max="15" width="11.42578125" style="38" bestFit="1" customWidth="1"/>
    <col min="16" max="16" width="6.5703125" style="38" bestFit="1" customWidth="1"/>
    <col min="17" max="18" width="11.42578125" style="38" bestFit="1" customWidth="1"/>
    <col min="19" max="19" width="6.5703125" style="38" bestFit="1" customWidth="1"/>
    <col min="20" max="21" width="11.42578125" style="38" bestFit="1" customWidth="1"/>
    <col min="22" max="16384" width="12.5703125" style="38"/>
  </cols>
  <sheetData>
    <row r="1" spans="2:21" x14ac:dyDescent="0.25">
      <c r="C1"/>
      <c r="D1"/>
      <c r="E1"/>
      <c r="F1"/>
      <c r="H1" s="38">
        <v>1.5</v>
      </c>
    </row>
    <row r="2" spans="2:21" ht="39.75" hidden="1" customHeight="1" x14ac:dyDescent="0.25">
      <c r="B2" s="368" t="s">
        <v>515</v>
      </c>
      <c r="C2" s="368"/>
      <c r="D2" s="368"/>
      <c r="E2" s="90"/>
      <c r="F2" s="90"/>
      <c r="G2" s="90"/>
      <c r="H2" s="90"/>
    </row>
    <row r="3" spans="2:21" ht="53.25" customHeight="1" x14ac:dyDescent="0.25">
      <c r="B3" s="375" t="s">
        <v>1</v>
      </c>
      <c r="C3" s="379" t="s">
        <v>2</v>
      </c>
      <c r="D3" s="375" t="s">
        <v>0</v>
      </c>
      <c r="E3" s="379" t="s">
        <v>211</v>
      </c>
      <c r="F3" s="379" t="s">
        <v>72</v>
      </c>
      <c r="G3" s="367" t="s">
        <v>210</v>
      </c>
      <c r="H3" s="367"/>
      <c r="I3" s="423" t="s">
        <v>349</v>
      </c>
      <c r="J3" s="367" t="s">
        <v>692</v>
      </c>
      <c r="K3" s="367"/>
      <c r="L3" s="367"/>
      <c r="M3" s="367" t="s">
        <v>693</v>
      </c>
      <c r="N3" s="367"/>
      <c r="O3" s="367"/>
      <c r="P3" s="367" t="s">
        <v>632</v>
      </c>
      <c r="Q3" s="367"/>
      <c r="R3" s="367"/>
      <c r="S3" s="367" t="s">
        <v>633</v>
      </c>
      <c r="T3" s="367"/>
      <c r="U3" s="367"/>
    </row>
    <row r="4" spans="2:21" ht="29.25" customHeight="1" x14ac:dyDescent="0.25">
      <c r="B4" s="376"/>
      <c r="C4" s="380"/>
      <c r="D4" s="376"/>
      <c r="E4" s="380"/>
      <c r="F4" s="380"/>
      <c r="G4" s="74" t="s">
        <v>144</v>
      </c>
      <c r="H4" s="74" t="s">
        <v>145</v>
      </c>
      <c r="I4" s="424"/>
      <c r="J4" s="74" t="s">
        <v>107</v>
      </c>
      <c r="K4" s="74" t="s">
        <v>507</v>
      </c>
      <c r="L4" s="74" t="s">
        <v>508</v>
      </c>
      <c r="M4" s="74" t="s">
        <v>107</v>
      </c>
      <c r="N4" s="74" t="s">
        <v>507</v>
      </c>
      <c r="O4" s="74" t="s">
        <v>508</v>
      </c>
      <c r="P4" s="74" t="s">
        <v>107</v>
      </c>
      <c r="Q4" s="74" t="s">
        <v>507</v>
      </c>
      <c r="R4" s="74" t="s">
        <v>508</v>
      </c>
      <c r="S4" s="74" t="s">
        <v>107</v>
      </c>
      <c r="T4" s="74" t="s">
        <v>507</v>
      </c>
      <c r="U4" s="74" t="s">
        <v>508</v>
      </c>
    </row>
    <row r="5" spans="2:21" x14ac:dyDescent="0.25">
      <c r="B5" s="71" t="s">
        <v>74</v>
      </c>
      <c r="C5" s="71" t="s">
        <v>75</v>
      </c>
      <c r="D5" s="78" t="s">
        <v>76</v>
      </c>
      <c r="E5" s="78" t="s">
        <v>77</v>
      </c>
      <c r="F5" s="78" t="s">
        <v>78</v>
      </c>
      <c r="G5" s="149" t="s">
        <v>664</v>
      </c>
      <c r="H5" s="149" t="s">
        <v>665</v>
      </c>
      <c r="I5" s="74" t="s">
        <v>93</v>
      </c>
      <c r="J5" s="74" t="s">
        <v>94</v>
      </c>
      <c r="K5" s="74" t="s">
        <v>95</v>
      </c>
      <c r="L5" s="74" t="s">
        <v>96</v>
      </c>
      <c r="M5" s="74" t="s">
        <v>97</v>
      </c>
      <c r="N5" s="74" t="s">
        <v>98</v>
      </c>
      <c r="O5" s="74" t="s">
        <v>99</v>
      </c>
      <c r="P5" s="74" t="s">
        <v>100</v>
      </c>
      <c r="Q5" s="74" t="s">
        <v>101</v>
      </c>
      <c r="R5" s="74" t="s">
        <v>102</v>
      </c>
      <c r="S5" s="74" t="s">
        <v>103</v>
      </c>
      <c r="T5" s="74" t="s">
        <v>109</v>
      </c>
      <c r="U5" s="74" t="s">
        <v>110</v>
      </c>
    </row>
    <row r="6" spans="2:21" s="7" customFormat="1" ht="38.25" x14ac:dyDescent="0.25">
      <c r="B6" s="21">
        <v>1</v>
      </c>
      <c r="C6" s="215" t="s">
        <v>167</v>
      </c>
      <c r="D6" s="104" t="s">
        <v>21</v>
      </c>
      <c r="E6" s="207">
        <v>1029.5600978959999</v>
      </c>
      <c r="F6" s="216">
        <f>'Labour cost Escalation Factor'!$J$10</f>
        <v>0.27984207704983549</v>
      </c>
      <c r="G6" s="115">
        <f>E6*(1+F6)</f>
        <v>1317.6743341388485</v>
      </c>
      <c r="H6" s="115">
        <f>G6</f>
        <v>1317.6743341388485</v>
      </c>
      <c r="I6" s="209" t="s">
        <v>763</v>
      </c>
      <c r="J6" s="208">
        <v>1</v>
      </c>
      <c r="K6" s="97">
        <f>J6*$G6</f>
        <v>1317.6743341388485</v>
      </c>
      <c r="L6" s="97">
        <f>$H6*J6</f>
        <v>1317.6743341388485</v>
      </c>
      <c r="M6" s="97">
        <v>1</v>
      </c>
      <c r="N6" s="97">
        <f>M6*$G6</f>
        <v>1317.6743341388485</v>
      </c>
      <c r="O6" s="97">
        <f>$H6*M6</f>
        <v>1317.6743341388485</v>
      </c>
      <c r="P6" s="97">
        <v>1</v>
      </c>
      <c r="Q6" s="97">
        <f>P6*$G6</f>
        <v>1317.6743341388485</v>
      </c>
      <c r="R6" s="97">
        <f>$H6*P6</f>
        <v>1317.6743341388485</v>
      </c>
      <c r="S6" s="97">
        <v>1</v>
      </c>
      <c r="T6" s="97">
        <f>S6*$G6</f>
        <v>1317.6743341388485</v>
      </c>
      <c r="U6" s="97">
        <f>$H6*S6</f>
        <v>1317.6743341388485</v>
      </c>
    </row>
    <row r="7" spans="2:21" s="43" customFormat="1" ht="38.25" x14ac:dyDescent="0.25">
      <c r="B7" s="24">
        <v>2</v>
      </c>
      <c r="C7" s="26" t="s">
        <v>170</v>
      </c>
      <c r="D7" s="217" t="s">
        <v>3</v>
      </c>
      <c r="E7" s="124">
        <v>178.46081600000002</v>
      </c>
      <c r="F7" s="216">
        <f>'Labour cost Escalation Factor'!$J$10</f>
        <v>0.27984207704983549</v>
      </c>
      <c r="G7" s="176">
        <f>E7*(1+F7)</f>
        <v>228.40166142144855</v>
      </c>
      <c r="H7" s="176">
        <f>G7*$H$1</f>
        <v>342.60249213217281</v>
      </c>
      <c r="I7" s="209" t="s">
        <v>763</v>
      </c>
      <c r="J7" s="208">
        <v>20</v>
      </c>
      <c r="K7" s="97">
        <f t="shared" ref="K7:K40" si="0">J7*$G7</f>
        <v>4568.0332284289707</v>
      </c>
      <c r="L7" s="97">
        <f t="shared" ref="L7:L40" si="1">$H7*J7</f>
        <v>6852.049842643456</v>
      </c>
      <c r="M7" s="97">
        <v>20</v>
      </c>
      <c r="N7" s="97">
        <f t="shared" ref="N7:N40" si="2">M7*$G7</f>
        <v>4568.0332284289707</v>
      </c>
      <c r="O7" s="97">
        <f t="shared" ref="O7:O40" si="3">$H7*M7</f>
        <v>6852.049842643456</v>
      </c>
      <c r="P7" s="97"/>
      <c r="Q7" s="97">
        <f t="shared" ref="Q7:Q40" si="4">P7*$G7</f>
        <v>0</v>
      </c>
      <c r="R7" s="97">
        <f t="shared" ref="R7:R40" si="5">$H7*P7</f>
        <v>0</v>
      </c>
      <c r="S7" s="97"/>
      <c r="T7" s="97">
        <f t="shared" ref="T7:T40" si="6">S7*$G7</f>
        <v>0</v>
      </c>
      <c r="U7" s="97">
        <f t="shared" ref="U7:U40" si="7">$H7*S7</f>
        <v>0</v>
      </c>
    </row>
    <row r="8" spans="2:21" s="43" customFormat="1" x14ac:dyDescent="0.25">
      <c r="B8" s="417">
        <v>3</v>
      </c>
      <c r="C8" s="26" t="s">
        <v>117</v>
      </c>
      <c r="D8" s="217"/>
      <c r="E8" s="208"/>
      <c r="F8" s="216"/>
      <c r="G8" s="176"/>
      <c r="H8" s="176"/>
      <c r="I8" s="218"/>
      <c r="J8" s="208"/>
      <c r="K8" s="97">
        <f t="shared" si="0"/>
        <v>0</v>
      </c>
      <c r="L8" s="97">
        <f t="shared" si="1"/>
        <v>0</v>
      </c>
      <c r="M8" s="97"/>
      <c r="N8" s="97">
        <f t="shared" si="2"/>
        <v>0</v>
      </c>
      <c r="O8" s="97">
        <f t="shared" si="3"/>
        <v>0</v>
      </c>
      <c r="P8" s="97"/>
      <c r="Q8" s="97">
        <f t="shared" si="4"/>
        <v>0</v>
      </c>
      <c r="R8" s="97">
        <f t="shared" si="5"/>
        <v>0</v>
      </c>
      <c r="S8" s="97"/>
      <c r="T8" s="97">
        <f t="shared" si="6"/>
        <v>0</v>
      </c>
      <c r="U8" s="97">
        <f t="shared" si="7"/>
        <v>0</v>
      </c>
    </row>
    <row r="9" spans="2:21" s="43" customFormat="1" ht="38.25" x14ac:dyDescent="0.25">
      <c r="B9" s="418"/>
      <c r="C9" s="26" t="s">
        <v>116</v>
      </c>
      <c r="D9" s="217" t="s">
        <v>4</v>
      </c>
      <c r="E9" s="208">
        <v>288.27813346200003</v>
      </c>
      <c r="F9" s="216">
        <f>'Labour cost Escalation Factor'!$J$10</f>
        <v>0.27984207704983549</v>
      </c>
      <c r="G9" s="176">
        <f>E9*(1+F9)</f>
        <v>368.95048509805582</v>
      </c>
      <c r="H9" s="115">
        <f>G9</f>
        <v>368.95048509805582</v>
      </c>
      <c r="I9" s="209" t="s">
        <v>763</v>
      </c>
      <c r="J9" s="208">
        <v>20</v>
      </c>
      <c r="K9" s="97">
        <f t="shared" si="0"/>
        <v>7379.0097019611167</v>
      </c>
      <c r="L9" s="97">
        <f t="shared" si="1"/>
        <v>7379.0097019611167</v>
      </c>
      <c r="M9" s="97">
        <v>20</v>
      </c>
      <c r="N9" s="97">
        <f t="shared" si="2"/>
        <v>7379.0097019611167</v>
      </c>
      <c r="O9" s="97">
        <f t="shared" si="3"/>
        <v>7379.0097019611167</v>
      </c>
      <c r="P9" s="97"/>
      <c r="Q9" s="97">
        <f t="shared" si="4"/>
        <v>0</v>
      </c>
      <c r="R9" s="97">
        <f t="shared" si="5"/>
        <v>0</v>
      </c>
      <c r="S9" s="97"/>
      <c r="T9" s="97">
        <f t="shared" si="6"/>
        <v>0</v>
      </c>
      <c r="U9" s="97">
        <f t="shared" si="7"/>
        <v>0</v>
      </c>
    </row>
    <row r="10" spans="2:21" s="43" customFormat="1" ht="38.25" x14ac:dyDescent="0.25">
      <c r="B10" s="418"/>
      <c r="C10" s="26" t="s">
        <v>115</v>
      </c>
      <c r="D10" s="217" t="s">
        <v>14</v>
      </c>
      <c r="E10" s="208">
        <v>573.11155709499997</v>
      </c>
      <c r="F10" s="216">
        <f>'Labour cost Escalation Factor'!$J$10</f>
        <v>0.27984207704983549</v>
      </c>
      <c r="G10" s="176">
        <f>E10*(1+F10)</f>
        <v>733.49228561373013</v>
      </c>
      <c r="H10" s="115">
        <f>G10</f>
        <v>733.49228561373013</v>
      </c>
      <c r="I10" s="209" t="s">
        <v>763</v>
      </c>
      <c r="J10" s="208"/>
      <c r="K10" s="97">
        <f t="shared" si="0"/>
        <v>0</v>
      </c>
      <c r="L10" s="97">
        <f t="shared" si="1"/>
        <v>0</v>
      </c>
      <c r="M10" s="97"/>
      <c r="N10" s="97">
        <f t="shared" si="2"/>
        <v>0</v>
      </c>
      <c r="O10" s="97">
        <f t="shared" si="3"/>
        <v>0</v>
      </c>
      <c r="P10" s="97"/>
      <c r="Q10" s="97">
        <f t="shared" si="4"/>
        <v>0</v>
      </c>
      <c r="R10" s="97">
        <f t="shared" si="5"/>
        <v>0</v>
      </c>
      <c r="S10" s="97"/>
      <c r="T10" s="97">
        <f t="shared" si="6"/>
        <v>0</v>
      </c>
      <c r="U10" s="97">
        <f t="shared" si="7"/>
        <v>0</v>
      </c>
    </row>
    <row r="11" spans="2:21" s="43" customFormat="1" ht="25.5" x14ac:dyDescent="0.25">
      <c r="B11" s="418"/>
      <c r="C11" s="26" t="s">
        <v>200</v>
      </c>
      <c r="D11" s="217" t="s">
        <v>37</v>
      </c>
      <c r="E11" s="124" t="s">
        <v>90</v>
      </c>
      <c r="F11" s="216"/>
      <c r="G11" s="176">
        <f>G9*3</f>
        <v>1106.8514552941674</v>
      </c>
      <c r="H11" s="115">
        <f>G11</f>
        <v>1106.8514552941674</v>
      </c>
      <c r="I11" s="209" t="s">
        <v>698</v>
      </c>
      <c r="J11" s="208"/>
      <c r="K11" s="97">
        <f t="shared" si="0"/>
        <v>0</v>
      </c>
      <c r="L11" s="97">
        <f t="shared" si="1"/>
        <v>0</v>
      </c>
      <c r="M11" s="97"/>
      <c r="N11" s="97">
        <f t="shared" si="2"/>
        <v>0</v>
      </c>
      <c r="O11" s="97">
        <f t="shared" si="3"/>
        <v>0</v>
      </c>
      <c r="P11" s="97"/>
      <c r="Q11" s="97">
        <f t="shared" si="4"/>
        <v>0</v>
      </c>
      <c r="R11" s="97">
        <f t="shared" si="5"/>
        <v>0</v>
      </c>
      <c r="S11" s="97"/>
      <c r="T11" s="97">
        <f t="shared" si="6"/>
        <v>0</v>
      </c>
      <c r="U11" s="97">
        <f t="shared" si="7"/>
        <v>0</v>
      </c>
    </row>
    <row r="12" spans="2:21" s="43" customFormat="1" ht="25.5" x14ac:dyDescent="0.25">
      <c r="B12" s="419"/>
      <c r="C12" s="26" t="s">
        <v>201</v>
      </c>
      <c r="D12" s="217" t="s">
        <v>91</v>
      </c>
      <c r="E12" s="124" t="s">
        <v>90</v>
      </c>
      <c r="F12" s="216"/>
      <c r="G12" s="176">
        <f>G9*4</f>
        <v>1475.8019403922233</v>
      </c>
      <c r="H12" s="115">
        <f>G12</f>
        <v>1475.8019403922233</v>
      </c>
      <c r="I12" s="209" t="s">
        <v>699</v>
      </c>
      <c r="J12" s="208"/>
      <c r="K12" s="97">
        <f t="shared" si="0"/>
        <v>0</v>
      </c>
      <c r="L12" s="97">
        <f t="shared" si="1"/>
        <v>0</v>
      </c>
      <c r="M12" s="97"/>
      <c r="N12" s="97">
        <f t="shared" si="2"/>
        <v>0</v>
      </c>
      <c r="O12" s="97">
        <f t="shared" si="3"/>
        <v>0</v>
      </c>
      <c r="P12" s="97"/>
      <c r="Q12" s="97">
        <f t="shared" si="4"/>
        <v>0</v>
      </c>
      <c r="R12" s="97">
        <f t="shared" si="5"/>
        <v>0</v>
      </c>
      <c r="S12" s="97"/>
      <c r="T12" s="97">
        <f t="shared" si="6"/>
        <v>0</v>
      </c>
      <c r="U12" s="97">
        <f t="shared" si="7"/>
        <v>0</v>
      </c>
    </row>
    <row r="13" spans="2:21" s="43" customFormat="1" ht="38.25" x14ac:dyDescent="0.25">
      <c r="B13" s="417">
        <v>4</v>
      </c>
      <c r="C13" s="26" t="s">
        <v>147</v>
      </c>
      <c r="D13" s="217" t="s">
        <v>5</v>
      </c>
      <c r="E13" s="208">
        <v>257.39002447399997</v>
      </c>
      <c r="F13" s="216">
        <f>'Labour cost Escalation Factor'!$J$10</f>
        <v>0.27984207704983549</v>
      </c>
      <c r="G13" s="176">
        <f>E13*(1+F13)</f>
        <v>329.41858353471213</v>
      </c>
      <c r="H13" s="115">
        <f>G13</f>
        <v>329.41858353471213</v>
      </c>
      <c r="I13" s="209" t="s">
        <v>763</v>
      </c>
      <c r="J13" s="208"/>
      <c r="K13" s="97">
        <f t="shared" si="0"/>
        <v>0</v>
      </c>
      <c r="L13" s="97">
        <f t="shared" si="1"/>
        <v>0</v>
      </c>
      <c r="M13" s="97"/>
      <c r="N13" s="97">
        <f t="shared" si="2"/>
        <v>0</v>
      </c>
      <c r="O13" s="97">
        <f t="shared" si="3"/>
        <v>0</v>
      </c>
      <c r="P13" s="97"/>
      <c r="Q13" s="97">
        <f t="shared" si="4"/>
        <v>0</v>
      </c>
      <c r="R13" s="97">
        <f t="shared" si="5"/>
        <v>0</v>
      </c>
      <c r="S13" s="97"/>
      <c r="T13" s="97">
        <f t="shared" si="6"/>
        <v>0</v>
      </c>
      <c r="U13" s="97">
        <f t="shared" si="7"/>
        <v>0</v>
      </c>
    </row>
    <row r="14" spans="2:21" s="43" customFormat="1" x14ac:dyDescent="0.25">
      <c r="B14" s="418"/>
      <c r="C14" s="40" t="s">
        <v>168</v>
      </c>
      <c r="D14" s="217"/>
      <c r="E14" s="208"/>
      <c r="F14" s="216"/>
      <c r="G14" s="176"/>
      <c r="H14" s="115"/>
      <c r="I14" s="219"/>
      <c r="J14" s="208"/>
      <c r="K14" s="97">
        <f t="shared" si="0"/>
        <v>0</v>
      </c>
      <c r="L14" s="97">
        <f t="shared" si="1"/>
        <v>0</v>
      </c>
      <c r="M14" s="97"/>
      <c r="N14" s="97">
        <f t="shared" si="2"/>
        <v>0</v>
      </c>
      <c r="O14" s="97">
        <f t="shared" si="3"/>
        <v>0</v>
      </c>
      <c r="P14" s="97"/>
      <c r="Q14" s="97">
        <f t="shared" si="4"/>
        <v>0</v>
      </c>
      <c r="R14" s="97">
        <f t="shared" si="5"/>
        <v>0</v>
      </c>
      <c r="S14" s="97"/>
      <c r="T14" s="97">
        <f t="shared" si="6"/>
        <v>0</v>
      </c>
      <c r="U14" s="97">
        <f t="shared" si="7"/>
        <v>0</v>
      </c>
    </row>
    <row r="15" spans="2:21" s="43" customFormat="1" ht="38.25" x14ac:dyDescent="0.25">
      <c r="B15" s="418"/>
      <c r="C15" s="26" t="s">
        <v>129</v>
      </c>
      <c r="D15" s="217" t="s">
        <v>5</v>
      </c>
      <c r="E15" s="208">
        <v>67.033073734000013</v>
      </c>
      <c r="F15" s="216">
        <f>'Labour cost Escalation Factor'!$J$10</f>
        <v>0.27984207704983549</v>
      </c>
      <c r="G15" s="176">
        <f>E15*(1+F15)</f>
        <v>85.791748318757357</v>
      </c>
      <c r="H15" s="115">
        <f>G15</f>
        <v>85.791748318757357</v>
      </c>
      <c r="I15" s="209" t="s">
        <v>763</v>
      </c>
      <c r="J15" s="208"/>
      <c r="K15" s="97">
        <f t="shared" si="0"/>
        <v>0</v>
      </c>
      <c r="L15" s="97">
        <f t="shared" si="1"/>
        <v>0</v>
      </c>
      <c r="M15" s="97"/>
      <c r="N15" s="97">
        <f t="shared" si="2"/>
        <v>0</v>
      </c>
      <c r="O15" s="97">
        <f t="shared" si="3"/>
        <v>0</v>
      </c>
      <c r="P15" s="97"/>
      <c r="Q15" s="97">
        <f t="shared" si="4"/>
        <v>0</v>
      </c>
      <c r="R15" s="97">
        <f t="shared" si="5"/>
        <v>0</v>
      </c>
      <c r="S15" s="97"/>
      <c r="T15" s="97">
        <f t="shared" si="6"/>
        <v>0</v>
      </c>
      <c r="U15" s="97">
        <f t="shared" si="7"/>
        <v>0</v>
      </c>
    </row>
    <row r="16" spans="2:21" s="43" customFormat="1" x14ac:dyDescent="0.25">
      <c r="B16" s="418"/>
      <c r="C16" s="40" t="s">
        <v>169</v>
      </c>
      <c r="D16" s="217"/>
      <c r="E16" s="208"/>
      <c r="F16" s="216"/>
      <c r="G16" s="176"/>
      <c r="H16" s="115"/>
      <c r="I16" s="219"/>
      <c r="J16" s="208"/>
      <c r="K16" s="97">
        <f t="shared" si="0"/>
        <v>0</v>
      </c>
      <c r="L16" s="97">
        <f t="shared" si="1"/>
        <v>0</v>
      </c>
      <c r="M16" s="97"/>
      <c r="N16" s="97">
        <f t="shared" si="2"/>
        <v>0</v>
      </c>
      <c r="O16" s="97">
        <f t="shared" si="3"/>
        <v>0</v>
      </c>
      <c r="P16" s="97"/>
      <c r="Q16" s="97">
        <f t="shared" si="4"/>
        <v>0</v>
      </c>
      <c r="R16" s="97">
        <f t="shared" si="5"/>
        <v>0</v>
      </c>
      <c r="S16" s="97"/>
      <c r="T16" s="97">
        <f t="shared" si="6"/>
        <v>0</v>
      </c>
      <c r="U16" s="97">
        <f t="shared" si="7"/>
        <v>0</v>
      </c>
    </row>
    <row r="17" spans="2:21" s="43" customFormat="1" ht="76.5" x14ac:dyDescent="0.25">
      <c r="B17" s="419"/>
      <c r="C17" s="215" t="s">
        <v>364</v>
      </c>
      <c r="D17" s="104" t="s">
        <v>350</v>
      </c>
      <c r="E17" s="208">
        <f>1925.054048324/2</f>
        <v>962.52702416199998</v>
      </c>
      <c r="F17" s="216"/>
      <c r="G17" s="115">
        <f>4428.8*0.0283*20</f>
        <v>2506.7008000000001</v>
      </c>
      <c r="H17" s="115">
        <f>G17</f>
        <v>2506.7008000000001</v>
      </c>
      <c r="I17" s="220" t="s">
        <v>357</v>
      </c>
      <c r="J17" s="208">
        <v>20</v>
      </c>
      <c r="K17" s="97">
        <f t="shared" si="0"/>
        <v>50134.016000000003</v>
      </c>
      <c r="L17" s="97">
        <f t="shared" si="1"/>
        <v>50134.016000000003</v>
      </c>
      <c r="M17" s="97">
        <v>20</v>
      </c>
      <c r="N17" s="97">
        <f t="shared" si="2"/>
        <v>50134.016000000003</v>
      </c>
      <c r="O17" s="97">
        <f t="shared" si="3"/>
        <v>50134.016000000003</v>
      </c>
      <c r="P17" s="97"/>
      <c r="Q17" s="97">
        <f t="shared" si="4"/>
        <v>0</v>
      </c>
      <c r="R17" s="97">
        <f t="shared" si="5"/>
        <v>0</v>
      </c>
      <c r="S17" s="97"/>
      <c r="T17" s="97">
        <f t="shared" si="6"/>
        <v>0</v>
      </c>
      <c r="U17" s="97">
        <f t="shared" si="7"/>
        <v>0</v>
      </c>
    </row>
    <row r="18" spans="2:21" s="43" customFormat="1" ht="38.25" x14ac:dyDescent="0.25">
      <c r="B18" s="21">
        <v>5</v>
      </c>
      <c r="C18" s="215" t="s">
        <v>366</v>
      </c>
      <c r="D18" s="104" t="s">
        <v>3</v>
      </c>
      <c r="E18" s="124">
        <v>178.46081600000002</v>
      </c>
      <c r="F18" s="216">
        <f>'Labour cost Escalation Factor'!$J$10</f>
        <v>0.27984207704983549</v>
      </c>
      <c r="G18" s="176">
        <f>E18*(1+F18)</f>
        <v>228.40166142144855</v>
      </c>
      <c r="H18" s="176">
        <f>G18*$H$1</f>
        <v>342.60249213217281</v>
      </c>
      <c r="I18" s="209" t="s">
        <v>763</v>
      </c>
      <c r="J18" s="208"/>
      <c r="K18" s="97">
        <f t="shared" si="0"/>
        <v>0</v>
      </c>
      <c r="L18" s="97">
        <f t="shared" si="1"/>
        <v>0</v>
      </c>
      <c r="M18" s="97"/>
      <c r="N18" s="97">
        <f t="shared" si="2"/>
        <v>0</v>
      </c>
      <c r="O18" s="97">
        <f t="shared" si="3"/>
        <v>0</v>
      </c>
      <c r="P18" s="97">
        <v>25</v>
      </c>
      <c r="Q18" s="97">
        <f t="shared" si="4"/>
        <v>5710.0415355362138</v>
      </c>
      <c r="R18" s="97">
        <f t="shared" si="5"/>
        <v>8565.0623033043212</v>
      </c>
      <c r="S18" s="97">
        <v>25</v>
      </c>
      <c r="T18" s="97">
        <f t="shared" si="6"/>
        <v>5710.0415355362138</v>
      </c>
      <c r="U18" s="97">
        <f t="shared" si="7"/>
        <v>8565.0623033043212</v>
      </c>
    </row>
    <row r="19" spans="2:21" ht="38.25" x14ac:dyDescent="0.25">
      <c r="B19" s="21">
        <v>6</v>
      </c>
      <c r="C19" s="215" t="s">
        <v>127</v>
      </c>
      <c r="D19" s="104" t="s">
        <v>8</v>
      </c>
      <c r="E19" s="124">
        <f>('11 KV line labour'!E9/9)*8</f>
        <v>256.24722974400004</v>
      </c>
      <c r="F19" s="216">
        <f>'Labour cost Escalation Factor'!$J$10</f>
        <v>0.27984207704983549</v>
      </c>
      <c r="G19" s="176">
        <f>E19*(1+F19)</f>
        <v>327.9559867538274</v>
      </c>
      <c r="H19" s="176">
        <f>G19</f>
        <v>327.9559867538274</v>
      </c>
      <c r="I19" s="209" t="s">
        <v>763</v>
      </c>
      <c r="J19" s="208"/>
      <c r="K19" s="97">
        <f t="shared" si="0"/>
        <v>0</v>
      </c>
      <c r="L19" s="97">
        <f t="shared" si="1"/>
        <v>0</v>
      </c>
      <c r="M19" s="97"/>
      <c r="N19" s="97">
        <f t="shared" si="2"/>
        <v>0</v>
      </c>
      <c r="O19" s="97">
        <f t="shared" si="3"/>
        <v>0</v>
      </c>
      <c r="P19" s="97">
        <v>25</v>
      </c>
      <c r="Q19" s="97">
        <f t="shared" si="4"/>
        <v>8198.8996688456846</v>
      </c>
      <c r="R19" s="97">
        <f t="shared" si="5"/>
        <v>8198.8996688456846</v>
      </c>
      <c r="S19" s="97">
        <v>25</v>
      </c>
      <c r="T19" s="97">
        <f t="shared" si="6"/>
        <v>8198.8996688456846</v>
      </c>
      <c r="U19" s="97">
        <f t="shared" si="7"/>
        <v>8198.8996688456846</v>
      </c>
    </row>
    <row r="20" spans="2:21" ht="38.25" x14ac:dyDescent="0.25">
      <c r="B20" s="420">
        <v>7</v>
      </c>
      <c r="C20" s="215" t="s">
        <v>181</v>
      </c>
      <c r="D20" s="104" t="s">
        <v>5</v>
      </c>
      <c r="E20" s="124">
        <v>257.38839191009998</v>
      </c>
      <c r="F20" s="216">
        <f>'Labour cost Escalation Factor'!$J$10</f>
        <v>0.27984207704983549</v>
      </c>
      <c r="G20" s="176">
        <f>E20*(1+F20)</f>
        <v>329.41649411073945</v>
      </c>
      <c r="H20" s="176">
        <f>G20</f>
        <v>329.41649411073945</v>
      </c>
      <c r="I20" s="209" t="s">
        <v>763</v>
      </c>
      <c r="J20" s="208"/>
      <c r="K20" s="97">
        <f t="shared" si="0"/>
        <v>0</v>
      </c>
      <c r="L20" s="97">
        <f t="shared" si="1"/>
        <v>0</v>
      </c>
      <c r="M20" s="97"/>
      <c r="N20" s="97">
        <f t="shared" si="2"/>
        <v>0</v>
      </c>
      <c r="O20" s="97">
        <f t="shared" si="3"/>
        <v>0</v>
      </c>
      <c r="P20" s="97"/>
      <c r="Q20" s="97">
        <f t="shared" si="4"/>
        <v>0</v>
      </c>
      <c r="R20" s="97">
        <f t="shared" si="5"/>
        <v>0</v>
      </c>
      <c r="S20" s="97"/>
      <c r="T20" s="97">
        <f t="shared" si="6"/>
        <v>0</v>
      </c>
      <c r="U20" s="97">
        <f t="shared" si="7"/>
        <v>0</v>
      </c>
    </row>
    <row r="21" spans="2:21" x14ac:dyDescent="0.25">
      <c r="B21" s="421"/>
      <c r="C21" s="40" t="s">
        <v>168</v>
      </c>
      <c r="D21" s="104"/>
      <c r="E21" s="124"/>
      <c r="F21" s="216"/>
      <c r="G21" s="176"/>
      <c r="H21" s="176"/>
      <c r="I21" s="218"/>
      <c r="J21" s="208"/>
      <c r="K21" s="97">
        <f t="shared" si="0"/>
        <v>0</v>
      </c>
      <c r="L21" s="97">
        <f t="shared" si="1"/>
        <v>0</v>
      </c>
      <c r="M21" s="97"/>
      <c r="N21" s="97">
        <f t="shared" si="2"/>
        <v>0</v>
      </c>
      <c r="O21" s="97">
        <f t="shared" si="3"/>
        <v>0</v>
      </c>
      <c r="P21" s="97"/>
      <c r="Q21" s="97">
        <f t="shared" si="4"/>
        <v>0</v>
      </c>
      <c r="R21" s="97">
        <f t="shared" si="5"/>
        <v>0</v>
      </c>
      <c r="S21" s="97"/>
      <c r="T21" s="97">
        <f t="shared" si="6"/>
        <v>0</v>
      </c>
      <c r="U21" s="97">
        <f t="shared" si="7"/>
        <v>0</v>
      </c>
    </row>
    <row r="22" spans="2:21" ht="38.25" x14ac:dyDescent="0.25">
      <c r="B22" s="421"/>
      <c r="C22" s="215" t="s">
        <v>129</v>
      </c>
      <c r="D22" s="104" t="s">
        <v>5</v>
      </c>
      <c r="E22" s="208">
        <v>67.033073734000013</v>
      </c>
      <c r="F22" s="216">
        <f>'Labour cost Escalation Factor'!$J$10</f>
        <v>0.27984207704983549</v>
      </c>
      <c r="G22" s="176">
        <f>E22*(1+F22)</f>
        <v>85.791748318757357</v>
      </c>
      <c r="H22" s="115">
        <f>G22</f>
        <v>85.791748318757357</v>
      </c>
      <c r="I22" s="209" t="s">
        <v>763</v>
      </c>
      <c r="J22" s="208"/>
      <c r="K22" s="97">
        <f t="shared" si="0"/>
        <v>0</v>
      </c>
      <c r="L22" s="97">
        <f t="shared" si="1"/>
        <v>0</v>
      </c>
      <c r="M22" s="97"/>
      <c r="N22" s="97">
        <f t="shared" si="2"/>
        <v>0</v>
      </c>
      <c r="O22" s="97">
        <f t="shared" si="3"/>
        <v>0</v>
      </c>
      <c r="P22" s="97"/>
      <c r="Q22" s="97">
        <f t="shared" si="4"/>
        <v>0</v>
      </c>
      <c r="R22" s="97">
        <f t="shared" si="5"/>
        <v>0</v>
      </c>
      <c r="S22" s="97"/>
      <c r="T22" s="97">
        <f t="shared" si="6"/>
        <v>0</v>
      </c>
      <c r="U22" s="97">
        <f t="shared" si="7"/>
        <v>0</v>
      </c>
    </row>
    <row r="23" spans="2:21" x14ac:dyDescent="0.25">
      <c r="B23" s="421"/>
      <c r="C23" s="40" t="s">
        <v>169</v>
      </c>
      <c r="D23" s="217"/>
      <c r="E23" s="208"/>
      <c r="F23" s="216"/>
      <c r="G23" s="176"/>
      <c r="H23" s="115"/>
      <c r="I23" s="219"/>
      <c r="J23" s="208"/>
      <c r="K23" s="97">
        <f t="shared" si="0"/>
        <v>0</v>
      </c>
      <c r="L23" s="97">
        <f t="shared" si="1"/>
        <v>0</v>
      </c>
      <c r="M23" s="97"/>
      <c r="N23" s="97">
        <f t="shared" si="2"/>
        <v>0</v>
      </c>
      <c r="O23" s="97">
        <f t="shared" si="3"/>
        <v>0</v>
      </c>
      <c r="P23" s="97"/>
      <c r="Q23" s="97">
        <f t="shared" si="4"/>
        <v>0</v>
      </c>
      <c r="R23" s="97">
        <f t="shared" si="5"/>
        <v>0</v>
      </c>
      <c r="S23" s="97"/>
      <c r="T23" s="97">
        <f t="shared" si="6"/>
        <v>0</v>
      </c>
      <c r="U23" s="97">
        <f t="shared" si="7"/>
        <v>0</v>
      </c>
    </row>
    <row r="24" spans="2:21" ht="76.5" x14ac:dyDescent="0.25">
      <c r="B24" s="422"/>
      <c r="C24" s="215" t="s">
        <v>364</v>
      </c>
      <c r="D24" s="104" t="s">
        <v>350</v>
      </c>
      <c r="E24" s="208">
        <f>1925.054048324/2</f>
        <v>962.52702416199998</v>
      </c>
      <c r="F24" s="216"/>
      <c r="G24" s="115">
        <f>4428.8*0.0283*20</f>
        <v>2506.7008000000001</v>
      </c>
      <c r="H24" s="115">
        <f>G24</f>
        <v>2506.7008000000001</v>
      </c>
      <c r="I24" s="220" t="s">
        <v>357</v>
      </c>
      <c r="J24" s="208"/>
      <c r="K24" s="97">
        <f t="shared" si="0"/>
        <v>0</v>
      </c>
      <c r="L24" s="97">
        <f t="shared" si="1"/>
        <v>0</v>
      </c>
      <c r="M24" s="97"/>
      <c r="N24" s="97">
        <f t="shared" si="2"/>
        <v>0</v>
      </c>
      <c r="O24" s="97">
        <f t="shared" si="3"/>
        <v>0</v>
      </c>
      <c r="P24" s="97">
        <v>25</v>
      </c>
      <c r="Q24" s="97">
        <f t="shared" si="4"/>
        <v>62667.520000000004</v>
      </c>
      <c r="R24" s="97">
        <f t="shared" si="5"/>
        <v>62667.520000000004</v>
      </c>
      <c r="S24" s="97">
        <v>25</v>
      </c>
      <c r="T24" s="97">
        <f t="shared" si="6"/>
        <v>62667.520000000004</v>
      </c>
      <c r="U24" s="97">
        <f t="shared" si="7"/>
        <v>62667.520000000004</v>
      </c>
    </row>
    <row r="25" spans="2:21" ht="38.25" x14ac:dyDescent="0.25">
      <c r="B25" s="21">
        <v>10</v>
      </c>
      <c r="C25" s="215" t="s">
        <v>120</v>
      </c>
      <c r="D25" s="104" t="s">
        <v>3</v>
      </c>
      <c r="E25" s="207">
        <v>120.64647221000001</v>
      </c>
      <c r="F25" s="216">
        <f>'Labour cost Escalation Factor'!$J$10</f>
        <v>0.27984207704983549</v>
      </c>
      <c r="G25" s="115">
        <f>E25*(1+F25)</f>
        <v>154.40843158198169</v>
      </c>
      <c r="H25" s="115">
        <f>G25*$H$1</f>
        <v>231.61264737297253</v>
      </c>
      <c r="I25" s="209" t="s">
        <v>763</v>
      </c>
      <c r="J25" s="208">
        <v>20</v>
      </c>
      <c r="K25" s="97">
        <f t="shared" si="0"/>
        <v>3088.1686316396335</v>
      </c>
      <c r="L25" s="97">
        <f t="shared" si="1"/>
        <v>4632.2529474594503</v>
      </c>
      <c r="M25" s="123">
        <v>20</v>
      </c>
      <c r="N25" s="97">
        <f t="shared" si="2"/>
        <v>3088.1686316396335</v>
      </c>
      <c r="O25" s="97">
        <f t="shared" si="3"/>
        <v>4632.2529474594503</v>
      </c>
      <c r="P25" s="123">
        <v>25</v>
      </c>
      <c r="Q25" s="97">
        <f t="shared" si="4"/>
        <v>3860.2107895495424</v>
      </c>
      <c r="R25" s="97">
        <f t="shared" si="5"/>
        <v>5790.3161843243133</v>
      </c>
      <c r="S25" s="123">
        <v>25</v>
      </c>
      <c r="T25" s="97">
        <f t="shared" si="6"/>
        <v>3860.2107895495424</v>
      </c>
      <c r="U25" s="97">
        <f t="shared" si="7"/>
        <v>5790.3161843243133</v>
      </c>
    </row>
    <row r="26" spans="2:21" ht="38.25" x14ac:dyDescent="0.25">
      <c r="B26" s="21">
        <v>11</v>
      </c>
      <c r="C26" s="215" t="s">
        <v>6</v>
      </c>
      <c r="D26" s="104" t="s">
        <v>7</v>
      </c>
      <c r="E26" s="124">
        <v>154.43401468440001</v>
      </c>
      <c r="F26" s="216">
        <f>'Labour cost Escalation Factor'!$J$10</f>
        <v>0.27984207704983549</v>
      </c>
      <c r="G26" s="176">
        <f>E26*(1+F26)</f>
        <v>197.65115012082731</v>
      </c>
      <c r="H26" s="176">
        <f t="shared" ref="H26:H29" si="8">G26</f>
        <v>197.65115012082731</v>
      </c>
      <c r="I26" s="209" t="s">
        <v>763</v>
      </c>
      <c r="J26" s="208">
        <v>20</v>
      </c>
      <c r="K26" s="97">
        <f t="shared" si="0"/>
        <v>3953.0230024165462</v>
      </c>
      <c r="L26" s="97">
        <f t="shared" si="1"/>
        <v>3953.0230024165462</v>
      </c>
      <c r="M26" s="123">
        <v>20</v>
      </c>
      <c r="N26" s="97">
        <f t="shared" si="2"/>
        <v>3953.0230024165462</v>
      </c>
      <c r="O26" s="97">
        <f t="shared" si="3"/>
        <v>3953.0230024165462</v>
      </c>
      <c r="P26" s="123">
        <v>25</v>
      </c>
      <c r="Q26" s="97">
        <f t="shared" si="4"/>
        <v>4941.2787530206824</v>
      </c>
      <c r="R26" s="97">
        <f t="shared" si="5"/>
        <v>4941.2787530206824</v>
      </c>
      <c r="S26" s="123">
        <v>25</v>
      </c>
      <c r="T26" s="97">
        <f t="shared" si="6"/>
        <v>4941.2787530206824</v>
      </c>
      <c r="U26" s="97">
        <f t="shared" si="7"/>
        <v>4941.2787530206824</v>
      </c>
    </row>
    <row r="27" spans="2:21" ht="76.5" x14ac:dyDescent="0.25">
      <c r="B27" s="21">
        <v>12</v>
      </c>
      <c r="C27" s="215" t="s">
        <v>378</v>
      </c>
      <c r="D27" s="104" t="s">
        <v>365</v>
      </c>
      <c r="E27" s="208">
        <v>356.91111981800003</v>
      </c>
      <c r="F27" s="216"/>
      <c r="G27" s="115">
        <f>4428.8*0.0283*5</f>
        <v>626.67520000000002</v>
      </c>
      <c r="H27" s="115">
        <f t="shared" si="8"/>
        <v>626.67520000000002</v>
      </c>
      <c r="I27" s="220" t="s">
        <v>357</v>
      </c>
      <c r="J27" s="208">
        <v>20</v>
      </c>
      <c r="K27" s="97">
        <f t="shared" si="0"/>
        <v>12533.504000000001</v>
      </c>
      <c r="L27" s="97">
        <f t="shared" si="1"/>
        <v>12533.504000000001</v>
      </c>
      <c r="M27" s="123">
        <v>20</v>
      </c>
      <c r="N27" s="97">
        <f t="shared" si="2"/>
        <v>12533.504000000001</v>
      </c>
      <c r="O27" s="97">
        <f t="shared" si="3"/>
        <v>12533.504000000001</v>
      </c>
      <c r="P27" s="123">
        <v>25</v>
      </c>
      <c r="Q27" s="97">
        <f t="shared" si="4"/>
        <v>15666.880000000001</v>
      </c>
      <c r="R27" s="97">
        <f t="shared" si="5"/>
        <v>15666.880000000001</v>
      </c>
      <c r="S27" s="123">
        <v>25</v>
      </c>
      <c r="T27" s="97">
        <f t="shared" si="6"/>
        <v>15666.880000000001</v>
      </c>
      <c r="U27" s="97">
        <f t="shared" si="7"/>
        <v>15666.880000000001</v>
      </c>
    </row>
    <row r="28" spans="2:21" ht="25.5" x14ac:dyDescent="0.25">
      <c r="B28" s="24">
        <v>15</v>
      </c>
      <c r="C28" s="215" t="s">
        <v>501</v>
      </c>
      <c r="D28" s="104" t="s">
        <v>11</v>
      </c>
      <c r="E28" s="221" t="s">
        <v>90</v>
      </c>
      <c r="F28" s="216"/>
      <c r="G28" s="115">
        <f>(('Labour cost Escalation Factor'!$I$5*2)*1.15*1.2)/10</f>
        <v>64.076159999999987</v>
      </c>
      <c r="H28" s="115">
        <f t="shared" si="8"/>
        <v>64.076159999999987</v>
      </c>
      <c r="I28" s="220" t="s">
        <v>503</v>
      </c>
      <c r="J28" s="208"/>
      <c r="K28" s="97">
        <f t="shared" si="0"/>
        <v>0</v>
      </c>
      <c r="L28" s="97">
        <f t="shared" si="1"/>
        <v>0</v>
      </c>
      <c r="M28" s="97">
        <v>3</v>
      </c>
      <c r="N28" s="97">
        <f t="shared" si="2"/>
        <v>192.22847999999996</v>
      </c>
      <c r="O28" s="97">
        <f t="shared" si="3"/>
        <v>192.22847999999996</v>
      </c>
      <c r="P28" s="97"/>
      <c r="Q28" s="97">
        <f t="shared" si="4"/>
        <v>0</v>
      </c>
      <c r="R28" s="97">
        <f t="shared" si="5"/>
        <v>0</v>
      </c>
      <c r="S28" s="97">
        <v>3</v>
      </c>
      <c r="T28" s="97">
        <f t="shared" si="6"/>
        <v>192.22847999999996</v>
      </c>
      <c r="U28" s="97">
        <f t="shared" si="7"/>
        <v>192.22847999999996</v>
      </c>
    </row>
    <row r="29" spans="2:21" ht="25.5" x14ac:dyDescent="0.25">
      <c r="B29" s="76">
        <v>16</v>
      </c>
      <c r="C29" s="215" t="s">
        <v>502</v>
      </c>
      <c r="D29" s="104" t="s">
        <v>11</v>
      </c>
      <c r="E29" s="221" t="s">
        <v>90</v>
      </c>
      <c r="F29" s="216"/>
      <c r="G29" s="115">
        <f>(('Labour cost Escalation Factor'!$I$5*2)*1.15*1.2)/8</f>
        <v>80.095199999999991</v>
      </c>
      <c r="H29" s="115">
        <f t="shared" si="8"/>
        <v>80.095199999999991</v>
      </c>
      <c r="I29" s="220" t="s">
        <v>504</v>
      </c>
      <c r="J29" s="208">
        <v>3</v>
      </c>
      <c r="K29" s="97">
        <f t="shared" si="0"/>
        <v>240.28559999999999</v>
      </c>
      <c r="L29" s="97">
        <f t="shared" si="1"/>
        <v>240.28559999999999</v>
      </c>
      <c r="M29" s="97"/>
      <c r="N29" s="97">
        <f t="shared" si="2"/>
        <v>0</v>
      </c>
      <c r="O29" s="97">
        <f t="shared" si="3"/>
        <v>0</v>
      </c>
      <c r="P29" s="97">
        <v>3</v>
      </c>
      <c r="Q29" s="97">
        <f t="shared" si="4"/>
        <v>240.28559999999999</v>
      </c>
      <c r="R29" s="97">
        <f t="shared" si="5"/>
        <v>240.28559999999999</v>
      </c>
      <c r="S29" s="97"/>
      <c r="T29" s="97">
        <f t="shared" si="6"/>
        <v>0</v>
      </c>
      <c r="U29" s="97">
        <f t="shared" si="7"/>
        <v>0</v>
      </c>
    </row>
    <row r="30" spans="2:21" ht="51" x14ac:dyDescent="0.25">
      <c r="B30" s="416">
        <v>17</v>
      </c>
      <c r="C30" s="222" t="s">
        <v>759</v>
      </c>
      <c r="D30" s="104"/>
      <c r="E30" s="221"/>
      <c r="F30" s="216"/>
      <c r="G30" s="115"/>
      <c r="H30" s="115"/>
      <c r="I30" s="218"/>
      <c r="J30" s="208"/>
      <c r="K30" s="97">
        <f t="shared" si="0"/>
        <v>0</v>
      </c>
      <c r="L30" s="97">
        <f t="shared" si="1"/>
        <v>0</v>
      </c>
      <c r="M30" s="97"/>
      <c r="N30" s="97">
        <f t="shared" si="2"/>
        <v>0</v>
      </c>
      <c r="O30" s="97">
        <f t="shared" si="3"/>
        <v>0</v>
      </c>
      <c r="P30" s="97"/>
      <c r="Q30" s="97">
        <f t="shared" si="4"/>
        <v>0</v>
      </c>
      <c r="R30" s="97">
        <f t="shared" si="5"/>
        <v>0</v>
      </c>
      <c r="S30" s="97"/>
      <c r="T30" s="97">
        <f t="shared" si="6"/>
        <v>0</v>
      </c>
      <c r="U30" s="97">
        <f t="shared" si="7"/>
        <v>0</v>
      </c>
    </row>
    <row r="31" spans="2:21" ht="38.25" x14ac:dyDescent="0.25">
      <c r="B31" s="416"/>
      <c r="C31" s="82" t="s">
        <v>719</v>
      </c>
      <c r="D31" s="104" t="s">
        <v>20</v>
      </c>
      <c r="E31" s="221">
        <f>(13441/1270)*2700</f>
        <v>28575.354330708662</v>
      </c>
      <c r="F31" s="216">
        <f>'Labour cost Escalation Factor'!$J$10</f>
        <v>0.27984207704983549</v>
      </c>
      <c r="G31" s="176">
        <f t="shared" ref="G31:G40" si="9">E31*(1+F31)</f>
        <v>36571.940839049188</v>
      </c>
      <c r="H31" s="176">
        <f t="shared" ref="H31:H40" si="10">G31</f>
        <v>36571.940839049188</v>
      </c>
      <c r="I31" s="209" t="s">
        <v>763</v>
      </c>
      <c r="J31" s="208"/>
      <c r="K31" s="97">
        <f t="shared" si="0"/>
        <v>0</v>
      </c>
      <c r="L31" s="97">
        <f t="shared" si="1"/>
        <v>0</v>
      </c>
      <c r="M31" s="97"/>
      <c r="N31" s="97">
        <f t="shared" si="2"/>
        <v>0</v>
      </c>
      <c r="O31" s="97">
        <f t="shared" si="3"/>
        <v>0</v>
      </c>
      <c r="P31" s="97"/>
      <c r="Q31" s="97">
        <f t="shared" si="4"/>
        <v>0</v>
      </c>
      <c r="R31" s="97">
        <f t="shared" si="5"/>
        <v>0</v>
      </c>
      <c r="S31" s="97"/>
      <c r="T31" s="97">
        <f t="shared" si="6"/>
        <v>0</v>
      </c>
      <c r="U31" s="97">
        <f t="shared" si="7"/>
        <v>0</v>
      </c>
    </row>
    <row r="32" spans="2:21" ht="38.25" x14ac:dyDescent="0.25">
      <c r="B32" s="416"/>
      <c r="C32" s="82" t="s">
        <v>720</v>
      </c>
      <c r="D32" s="104" t="s">
        <v>20</v>
      </c>
      <c r="E32" s="221">
        <f>(13441/1270)*2250</f>
        <v>23812.79527559055</v>
      </c>
      <c r="F32" s="216">
        <f>'Labour cost Escalation Factor'!$J$10</f>
        <v>0.27984207704983549</v>
      </c>
      <c r="G32" s="176">
        <f t="shared" si="9"/>
        <v>30476.617365874321</v>
      </c>
      <c r="H32" s="176">
        <f t="shared" si="10"/>
        <v>30476.617365874321</v>
      </c>
      <c r="I32" s="209" t="s">
        <v>763</v>
      </c>
      <c r="J32" s="208">
        <v>1</v>
      </c>
      <c r="K32" s="97">
        <f t="shared" si="0"/>
        <v>30476.617365874321</v>
      </c>
      <c r="L32" s="97">
        <f t="shared" si="1"/>
        <v>30476.617365874321</v>
      </c>
      <c r="M32" s="97"/>
      <c r="N32" s="97">
        <f t="shared" si="2"/>
        <v>0</v>
      </c>
      <c r="O32" s="97">
        <f t="shared" si="3"/>
        <v>0</v>
      </c>
      <c r="P32" s="97"/>
      <c r="Q32" s="97">
        <f t="shared" si="4"/>
        <v>0</v>
      </c>
      <c r="R32" s="97">
        <f t="shared" si="5"/>
        <v>0</v>
      </c>
      <c r="S32" s="97"/>
      <c r="T32" s="97">
        <f t="shared" si="6"/>
        <v>0</v>
      </c>
      <c r="U32" s="97">
        <f t="shared" si="7"/>
        <v>0</v>
      </c>
    </row>
    <row r="33" spans="2:21" ht="38.25" x14ac:dyDescent="0.25">
      <c r="B33" s="416"/>
      <c r="C33" s="82" t="s">
        <v>721</v>
      </c>
      <c r="D33" s="104" t="s">
        <v>20</v>
      </c>
      <c r="E33" s="221">
        <f>(13441/1270)*1900</f>
        <v>20108.582677165356</v>
      </c>
      <c r="F33" s="216">
        <f>'Labour cost Escalation Factor'!$J$10</f>
        <v>0.27984207704983549</v>
      </c>
      <c r="G33" s="176">
        <f t="shared" si="9"/>
        <v>25735.810220071653</v>
      </c>
      <c r="H33" s="176">
        <f t="shared" si="10"/>
        <v>25735.810220071653</v>
      </c>
      <c r="I33" s="209" t="s">
        <v>763</v>
      </c>
      <c r="J33" s="208"/>
      <c r="K33" s="97">
        <f t="shared" si="0"/>
        <v>0</v>
      </c>
      <c r="L33" s="97">
        <f t="shared" si="1"/>
        <v>0</v>
      </c>
      <c r="M33" s="97"/>
      <c r="N33" s="97">
        <f t="shared" si="2"/>
        <v>0</v>
      </c>
      <c r="O33" s="97">
        <f t="shared" si="3"/>
        <v>0</v>
      </c>
      <c r="P33" s="97"/>
      <c r="Q33" s="97">
        <f t="shared" si="4"/>
        <v>0</v>
      </c>
      <c r="R33" s="97">
        <f t="shared" si="5"/>
        <v>0</v>
      </c>
      <c r="S33" s="97"/>
      <c r="T33" s="97">
        <f t="shared" si="6"/>
        <v>0</v>
      </c>
      <c r="U33" s="97">
        <f t="shared" si="7"/>
        <v>0</v>
      </c>
    </row>
    <row r="34" spans="2:21" ht="38.25" x14ac:dyDescent="0.25">
      <c r="B34" s="416"/>
      <c r="C34" s="82" t="s">
        <v>722</v>
      </c>
      <c r="D34" s="104" t="s">
        <v>20</v>
      </c>
      <c r="E34" s="221">
        <f>(13441/1270)*1630</f>
        <v>17251.047244094487</v>
      </c>
      <c r="F34" s="216">
        <f>'Labour cost Escalation Factor'!$J$10</f>
        <v>0.27984207704983549</v>
      </c>
      <c r="G34" s="176">
        <f t="shared" si="9"/>
        <v>22078.616136166729</v>
      </c>
      <c r="H34" s="176">
        <f t="shared" si="10"/>
        <v>22078.616136166729</v>
      </c>
      <c r="I34" s="209" t="s">
        <v>763</v>
      </c>
      <c r="J34" s="208"/>
      <c r="K34" s="97">
        <f t="shared" si="0"/>
        <v>0</v>
      </c>
      <c r="L34" s="97">
        <f t="shared" si="1"/>
        <v>0</v>
      </c>
      <c r="M34" s="97">
        <v>1</v>
      </c>
      <c r="N34" s="97">
        <f t="shared" si="2"/>
        <v>22078.616136166729</v>
      </c>
      <c r="O34" s="97">
        <f t="shared" si="3"/>
        <v>22078.616136166729</v>
      </c>
      <c r="P34" s="97"/>
      <c r="Q34" s="97">
        <f t="shared" si="4"/>
        <v>0</v>
      </c>
      <c r="R34" s="97">
        <f t="shared" si="5"/>
        <v>0</v>
      </c>
      <c r="S34" s="97"/>
      <c r="T34" s="97">
        <f t="shared" si="6"/>
        <v>0</v>
      </c>
      <c r="U34" s="97">
        <f t="shared" si="7"/>
        <v>0</v>
      </c>
    </row>
    <row r="35" spans="2:21" ht="38.25" x14ac:dyDescent="0.25">
      <c r="B35" s="416"/>
      <c r="C35" s="82" t="s">
        <v>723</v>
      </c>
      <c r="D35" s="104" t="s">
        <v>20</v>
      </c>
      <c r="E35" s="221">
        <f>(13441/1270)*1450</f>
        <v>15346.023622047245</v>
      </c>
      <c r="F35" s="216">
        <f>'Labour cost Escalation Factor'!$J$10</f>
        <v>0.27984207704983549</v>
      </c>
      <c r="G35" s="176">
        <f t="shared" si="9"/>
        <v>19640.486746896786</v>
      </c>
      <c r="H35" s="176">
        <f t="shared" si="10"/>
        <v>19640.486746896786</v>
      </c>
      <c r="I35" s="209" t="s">
        <v>763</v>
      </c>
      <c r="J35" s="208"/>
      <c r="K35" s="97">
        <f t="shared" si="0"/>
        <v>0</v>
      </c>
      <c r="L35" s="97">
        <f t="shared" si="1"/>
        <v>0</v>
      </c>
      <c r="M35" s="97"/>
      <c r="N35" s="97">
        <f t="shared" si="2"/>
        <v>0</v>
      </c>
      <c r="O35" s="97">
        <f t="shared" si="3"/>
        <v>0</v>
      </c>
      <c r="P35" s="97"/>
      <c r="Q35" s="97">
        <f t="shared" si="4"/>
        <v>0</v>
      </c>
      <c r="R35" s="97">
        <f t="shared" si="5"/>
        <v>0</v>
      </c>
      <c r="S35" s="97"/>
      <c r="T35" s="97">
        <f t="shared" si="6"/>
        <v>0</v>
      </c>
      <c r="U35" s="97">
        <f t="shared" si="7"/>
        <v>0</v>
      </c>
    </row>
    <row r="36" spans="2:21" ht="38.25" x14ac:dyDescent="0.25">
      <c r="B36" s="416"/>
      <c r="C36" s="82" t="s">
        <v>724</v>
      </c>
      <c r="D36" s="104" t="s">
        <v>20</v>
      </c>
      <c r="E36" s="221">
        <f>(13441/1270)*1430</f>
        <v>15134.354330708662</v>
      </c>
      <c r="F36" s="216">
        <f>'Labour cost Escalation Factor'!$J$10</f>
        <v>0.27984207704983549</v>
      </c>
      <c r="G36" s="176">
        <f t="shared" si="9"/>
        <v>19369.583481422349</v>
      </c>
      <c r="H36" s="176">
        <f t="shared" si="10"/>
        <v>19369.583481422349</v>
      </c>
      <c r="I36" s="209" t="s">
        <v>763</v>
      </c>
      <c r="J36" s="208"/>
      <c r="K36" s="97">
        <f t="shared" si="0"/>
        <v>0</v>
      </c>
      <c r="L36" s="97">
        <f t="shared" si="1"/>
        <v>0</v>
      </c>
      <c r="M36" s="97"/>
      <c r="N36" s="97">
        <f t="shared" si="2"/>
        <v>0</v>
      </c>
      <c r="O36" s="97">
        <f t="shared" si="3"/>
        <v>0</v>
      </c>
      <c r="P36" s="97"/>
      <c r="Q36" s="97">
        <f t="shared" si="4"/>
        <v>0</v>
      </c>
      <c r="R36" s="97">
        <f t="shared" si="5"/>
        <v>0</v>
      </c>
      <c r="S36" s="97"/>
      <c r="T36" s="97">
        <f t="shared" si="6"/>
        <v>0</v>
      </c>
      <c r="U36" s="97">
        <f t="shared" si="7"/>
        <v>0</v>
      </c>
    </row>
    <row r="37" spans="2:21" ht="38.25" x14ac:dyDescent="0.25">
      <c r="B37" s="416"/>
      <c r="C37" s="82" t="s">
        <v>725</v>
      </c>
      <c r="D37" s="104" t="s">
        <v>20</v>
      </c>
      <c r="E37" s="221">
        <f>(13441/1270)*1180</f>
        <v>12488.488188976378</v>
      </c>
      <c r="F37" s="216">
        <f>'Labour cost Escalation Factor'!$J$10</f>
        <v>0.27984207704983549</v>
      </c>
      <c r="G37" s="176">
        <f t="shared" si="9"/>
        <v>15983.292662991867</v>
      </c>
      <c r="H37" s="176">
        <f t="shared" si="10"/>
        <v>15983.292662991867</v>
      </c>
      <c r="I37" s="209" t="s">
        <v>763</v>
      </c>
      <c r="J37" s="208"/>
      <c r="K37" s="97">
        <f t="shared" si="0"/>
        <v>0</v>
      </c>
      <c r="L37" s="97">
        <f t="shared" si="1"/>
        <v>0</v>
      </c>
      <c r="M37" s="97"/>
      <c r="N37" s="97">
        <f t="shared" si="2"/>
        <v>0</v>
      </c>
      <c r="O37" s="97">
        <f t="shared" si="3"/>
        <v>0</v>
      </c>
      <c r="P37" s="97">
        <v>1</v>
      </c>
      <c r="Q37" s="97">
        <f t="shared" si="4"/>
        <v>15983.292662991867</v>
      </c>
      <c r="R37" s="97">
        <f t="shared" si="5"/>
        <v>15983.292662991867</v>
      </c>
      <c r="S37" s="97"/>
      <c r="T37" s="97">
        <f t="shared" si="6"/>
        <v>0</v>
      </c>
      <c r="U37" s="97">
        <f t="shared" si="7"/>
        <v>0</v>
      </c>
    </row>
    <row r="38" spans="2:21" ht="38.25" x14ac:dyDescent="0.25">
      <c r="B38" s="416"/>
      <c r="C38" s="82" t="s">
        <v>726</v>
      </c>
      <c r="D38" s="104" t="s">
        <v>20</v>
      </c>
      <c r="E38" s="221">
        <v>13441</v>
      </c>
      <c r="F38" s="216">
        <f>'Labour cost Escalation Factor'!$J$10</f>
        <v>0.27984207704983549</v>
      </c>
      <c r="G38" s="176">
        <f t="shared" si="9"/>
        <v>17202.357357626839</v>
      </c>
      <c r="H38" s="176">
        <f t="shared" si="10"/>
        <v>17202.357357626839</v>
      </c>
      <c r="I38" s="209" t="s">
        <v>763</v>
      </c>
      <c r="J38" s="208"/>
      <c r="K38" s="97">
        <f t="shared" si="0"/>
        <v>0</v>
      </c>
      <c r="L38" s="97">
        <f t="shared" si="1"/>
        <v>0</v>
      </c>
      <c r="M38" s="97"/>
      <c r="N38" s="97">
        <f t="shared" si="2"/>
        <v>0</v>
      </c>
      <c r="O38" s="97">
        <f t="shared" si="3"/>
        <v>0</v>
      </c>
      <c r="P38" s="97"/>
      <c r="Q38" s="97">
        <f t="shared" si="4"/>
        <v>0</v>
      </c>
      <c r="R38" s="97">
        <f t="shared" si="5"/>
        <v>0</v>
      </c>
      <c r="S38" s="97">
        <v>1</v>
      </c>
      <c r="T38" s="97">
        <f t="shared" si="6"/>
        <v>17202.357357626839</v>
      </c>
      <c r="U38" s="97">
        <f t="shared" si="7"/>
        <v>17202.357357626839</v>
      </c>
    </row>
    <row r="39" spans="2:21" ht="38.25" x14ac:dyDescent="0.25">
      <c r="B39" s="416"/>
      <c r="C39" s="82" t="s">
        <v>727</v>
      </c>
      <c r="D39" s="104" t="s">
        <v>20</v>
      </c>
      <c r="E39" s="221">
        <f>(13441/1270)*802</f>
        <v>8487.938582677165</v>
      </c>
      <c r="F39" s="216">
        <f>'Labour cost Escalation Factor'!$J$10</f>
        <v>0.27984207704983549</v>
      </c>
      <c r="G39" s="176">
        <f t="shared" si="9"/>
        <v>10863.220945524979</v>
      </c>
      <c r="H39" s="176">
        <f t="shared" si="10"/>
        <v>10863.220945524979</v>
      </c>
      <c r="I39" s="209" t="s">
        <v>763</v>
      </c>
      <c r="J39" s="208"/>
      <c r="K39" s="97">
        <f t="shared" si="0"/>
        <v>0</v>
      </c>
      <c r="L39" s="97">
        <f t="shared" si="1"/>
        <v>0</v>
      </c>
      <c r="M39" s="97"/>
      <c r="N39" s="97">
        <f t="shared" si="2"/>
        <v>0</v>
      </c>
      <c r="O39" s="97">
        <f t="shared" si="3"/>
        <v>0</v>
      </c>
      <c r="P39" s="97"/>
      <c r="Q39" s="97">
        <f t="shared" si="4"/>
        <v>0</v>
      </c>
      <c r="R39" s="97">
        <f t="shared" si="5"/>
        <v>0</v>
      </c>
      <c r="S39" s="97"/>
      <c r="T39" s="97">
        <f t="shared" si="6"/>
        <v>0</v>
      </c>
      <c r="U39" s="97">
        <f t="shared" si="7"/>
        <v>0</v>
      </c>
    </row>
    <row r="40" spans="2:21" ht="38.25" x14ac:dyDescent="0.25">
      <c r="B40" s="416"/>
      <c r="C40" s="58" t="s">
        <v>728</v>
      </c>
      <c r="D40" s="22" t="s">
        <v>20</v>
      </c>
      <c r="E40" s="170">
        <f>(13441/1270)*610</f>
        <v>6455.9133858267714</v>
      </c>
      <c r="F40" s="23">
        <f>'Labour cost Escalation Factor'!$J$10</f>
        <v>0.27984207704983549</v>
      </c>
      <c r="G40" s="96">
        <f t="shared" si="9"/>
        <v>8262.5495969703716</v>
      </c>
      <c r="H40" s="96">
        <f t="shared" si="10"/>
        <v>8262.5495969703716</v>
      </c>
      <c r="I40" s="166" t="s">
        <v>763</v>
      </c>
      <c r="J40" s="123"/>
      <c r="K40" s="97">
        <f t="shared" si="0"/>
        <v>0</v>
      </c>
      <c r="L40" s="97">
        <f t="shared" si="1"/>
        <v>0</v>
      </c>
      <c r="M40" s="97"/>
      <c r="N40" s="97">
        <f t="shared" si="2"/>
        <v>0</v>
      </c>
      <c r="O40" s="97">
        <f t="shared" si="3"/>
        <v>0</v>
      </c>
      <c r="P40" s="97"/>
      <c r="Q40" s="97">
        <f t="shared" si="4"/>
        <v>0</v>
      </c>
      <c r="R40" s="97">
        <f t="shared" si="5"/>
        <v>0</v>
      </c>
      <c r="S40" s="97"/>
      <c r="T40" s="97">
        <f t="shared" si="6"/>
        <v>0</v>
      </c>
      <c r="U40" s="97">
        <f t="shared" si="7"/>
        <v>0</v>
      </c>
    </row>
    <row r="41" spans="2:21" x14ac:dyDescent="0.25">
      <c r="B41" s="413" t="s">
        <v>108</v>
      </c>
      <c r="C41" s="414"/>
      <c r="D41" s="414"/>
      <c r="E41" s="414"/>
      <c r="F41" s="414"/>
      <c r="G41" s="414"/>
      <c r="H41" s="415"/>
      <c r="I41" s="70"/>
      <c r="J41" s="171"/>
      <c r="K41" s="126">
        <f>SUM(K6:K40)</f>
        <v>113690.33186445945</v>
      </c>
      <c r="L41" s="126">
        <f>SUM(L6:L40)</f>
        <v>117518.43279449375</v>
      </c>
      <c r="M41" s="171"/>
      <c r="N41" s="126">
        <f>SUM(N6:N40)</f>
        <v>105244.27351475187</v>
      </c>
      <c r="O41" s="126">
        <f>SUM(O6:O40)</f>
        <v>109072.37444478617</v>
      </c>
      <c r="P41" s="171"/>
      <c r="Q41" s="126">
        <f>SUM(Q6:Q40)</f>
        <v>118586.08334408286</v>
      </c>
      <c r="R41" s="126">
        <f>SUM(R6:R40)</f>
        <v>123371.20950662573</v>
      </c>
      <c r="S41" s="171"/>
      <c r="T41" s="126">
        <f>SUM(T6:T40)</f>
        <v>119757.09091871783</v>
      </c>
      <c r="U41" s="126">
        <f>SUM(U6:U40)</f>
        <v>124542.21708126071</v>
      </c>
    </row>
    <row r="43" spans="2:21" x14ac:dyDescent="0.25">
      <c r="C43"/>
      <c r="D43"/>
      <c r="E43"/>
    </row>
  </sheetData>
  <mergeCells count="17">
    <mergeCell ref="B2:D2"/>
    <mergeCell ref="J3:L3"/>
    <mergeCell ref="B3:B4"/>
    <mergeCell ref="C3:C4"/>
    <mergeCell ref="D3:D4"/>
    <mergeCell ref="E3:E4"/>
    <mergeCell ref="G3:H3"/>
    <mergeCell ref="F3:F4"/>
    <mergeCell ref="I3:I4"/>
    <mergeCell ref="M3:O3"/>
    <mergeCell ref="P3:R3"/>
    <mergeCell ref="S3:U3"/>
    <mergeCell ref="B41:H41"/>
    <mergeCell ref="B30:B40"/>
    <mergeCell ref="B8:B12"/>
    <mergeCell ref="B13:B17"/>
    <mergeCell ref="B20:B24"/>
  </mergeCells>
  <printOptions horizontalCentered="1"/>
  <pageMargins left="0.46" right="0.39" top="1" bottom="0.57999999999999996" header="0.4" footer="0.3"/>
  <pageSetup paperSize="9" scale="80" orientation="landscape" r:id="rId1"/>
  <headerFooter>
    <oddHeader>&amp;L&amp;G&amp;C&amp;"-,Bold"&amp;20JBVNL Cost Data Book&amp;"-,Regular"&amp;11
&amp;"-,Bold Italic"&amp;14 AB Cable Labour Cost Analysis&amp;R
&amp;G</oddHeader>
    <oddFooter>&amp;L&amp;"-,Bold"&amp;14 2016-17&amp;RPage &amp;P of &amp;N</oddFooter>
  </headerFooter>
  <colBreaks count="2" manualBreakCount="2">
    <brk id="9" min="1" max="43" man="1"/>
    <brk id="15" min="1" max="40"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BI61"/>
  <sheetViews>
    <sheetView zoomScaleNormal="100" workbookViewId="0">
      <pane xSplit="4" ySplit="5" topLeftCell="E6" activePane="bottomRight" state="frozen"/>
      <selection activeCell="E5" sqref="E5:E7"/>
      <selection pane="topRight" activeCell="E5" sqref="E5:E7"/>
      <selection pane="bottomLeft" activeCell="E5" sqref="E5:E7"/>
      <selection pane="bottomRight" activeCell="C6" sqref="C6"/>
    </sheetView>
  </sheetViews>
  <sheetFormatPr defaultColWidth="12.5703125" defaultRowHeight="15.75" x14ac:dyDescent="0.25"/>
  <cols>
    <col min="1" max="1" width="3.85546875" style="38" customWidth="1"/>
    <col min="2" max="2" width="5.85546875" style="38" bestFit="1" customWidth="1"/>
    <col min="3" max="3" width="64.140625" style="38" customWidth="1"/>
    <col min="4" max="4" width="9.7109375" style="38" customWidth="1"/>
    <col min="5" max="5" width="15" style="38" customWidth="1"/>
    <col min="6" max="6" width="15.28515625" style="38" customWidth="1"/>
    <col min="7" max="7" width="11.28515625" style="38" customWidth="1"/>
    <col min="8" max="8" width="9.7109375" style="38" customWidth="1"/>
    <col min="9" max="9" width="34.42578125" style="38" customWidth="1"/>
    <col min="10" max="10" width="12.7109375" style="38" customWidth="1"/>
    <col min="11" max="13" width="10.28515625" style="38" customWidth="1"/>
    <col min="14" max="14" width="8.7109375" style="38" customWidth="1"/>
    <col min="15" max="16" width="13.28515625" style="38" customWidth="1"/>
    <col min="17" max="17" width="8.7109375" style="38" customWidth="1"/>
    <col min="18" max="19" width="13.28515625" style="38" customWidth="1"/>
    <col min="20" max="20" width="8.7109375" style="38" customWidth="1"/>
    <col min="21" max="22" width="13.28515625" style="38" customWidth="1"/>
    <col min="23" max="23" width="8.7109375" style="38" customWidth="1"/>
    <col min="24" max="25" width="13.28515625" style="38" customWidth="1"/>
    <col min="26" max="26" width="8.7109375" style="38" customWidth="1"/>
    <col min="27" max="28" width="13.28515625" style="38" customWidth="1"/>
    <col min="29" max="29" width="8.7109375" style="38" customWidth="1"/>
    <col min="30" max="31" width="13.28515625" style="38" customWidth="1"/>
    <col min="32" max="32" width="8.7109375" style="38" customWidth="1"/>
    <col min="33" max="34" width="13.28515625" style="38" customWidth="1"/>
    <col min="35" max="35" width="8.85546875" style="38" bestFit="1" customWidth="1"/>
    <col min="36" max="37" width="13.42578125" style="38" bestFit="1" customWidth="1"/>
    <col min="38" max="38" width="8.7109375" style="38" bestFit="1" customWidth="1"/>
    <col min="39" max="40" width="13.42578125" style="38" bestFit="1" customWidth="1"/>
    <col min="41" max="41" width="8.7109375" style="38" bestFit="1" customWidth="1"/>
    <col min="42" max="43" width="13.42578125" style="38" bestFit="1" customWidth="1"/>
    <col min="44" max="44" width="8.7109375" style="38" bestFit="1" customWidth="1"/>
    <col min="45" max="46" width="13.42578125" style="38" bestFit="1" customWidth="1"/>
    <col min="47" max="47" width="8.7109375" style="38" bestFit="1" customWidth="1"/>
    <col min="48" max="49" width="13.42578125" style="38" bestFit="1" customWidth="1"/>
    <col min="50" max="50" width="8.7109375" style="38" bestFit="1" customWidth="1"/>
    <col min="51" max="52" width="13.42578125" style="38" bestFit="1" customWidth="1"/>
    <col min="53" max="53" width="8.7109375" style="38" bestFit="1" customWidth="1"/>
    <col min="54" max="55" width="13.42578125" style="38" bestFit="1" customWidth="1"/>
    <col min="56" max="56" width="8.7109375" style="38" bestFit="1" customWidth="1"/>
    <col min="57" max="58" width="13.28515625" style="38" bestFit="1" customWidth="1"/>
    <col min="59" max="59" width="8.7109375" style="38" bestFit="1" customWidth="1"/>
    <col min="60" max="61" width="13.28515625" style="38" bestFit="1" customWidth="1"/>
    <col min="62" max="16384" width="12.5703125" style="38"/>
  </cols>
  <sheetData>
    <row r="1" spans="1:61" x14ac:dyDescent="0.25">
      <c r="A1"/>
      <c r="B1"/>
      <c r="C1"/>
      <c r="D1"/>
      <c r="E1"/>
      <c r="F1"/>
      <c r="G1"/>
    </row>
    <row r="2" spans="1:61" ht="39.75" hidden="1" customHeight="1" x14ac:dyDescent="0.25">
      <c r="B2" s="368" t="s">
        <v>516</v>
      </c>
      <c r="C2" s="368"/>
      <c r="D2" s="368"/>
      <c r="E2" s="90"/>
      <c r="F2" s="90"/>
      <c r="G2" s="90"/>
      <c r="H2" s="90"/>
      <c r="I2" s="90"/>
      <c r="J2" s="169"/>
      <c r="K2" s="169"/>
      <c r="L2" s="169"/>
      <c r="M2" s="169"/>
    </row>
    <row r="3" spans="1:61" ht="39" customHeight="1" x14ac:dyDescent="0.25">
      <c r="B3" s="375" t="s">
        <v>155</v>
      </c>
      <c r="C3" s="379" t="s">
        <v>2</v>
      </c>
      <c r="D3" s="425" t="s">
        <v>154</v>
      </c>
      <c r="E3" s="405" t="s">
        <v>211</v>
      </c>
      <c r="F3" s="379" t="s">
        <v>72</v>
      </c>
      <c r="G3" s="425" t="s">
        <v>212</v>
      </c>
      <c r="H3" s="425"/>
      <c r="I3" s="381" t="s">
        <v>349</v>
      </c>
      <c r="J3" s="432" t="s">
        <v>834</v>
      </c>
      <c r="K3" s="433"/>
      <c r="L3" s="433"/>
      <c r="M3" s="434"/>
      <c r="N3" s="367" t="s">
        <v>831</v>
      </c>
      <c r="O3" s="367"/>
      <c r="P3" s="367"/>
      <c r="Q3" s="367" t="s">
        <v>828</v>
      </c>
      <c r="R3" s="367"/>
      <c r="S3" s="367"/>
      <c r="T3" s="367" t="s">
        <v>829</v>
      </c>
      <c r="U3" s="367"/>
      <c r="V3" s="367"/>
      <c r="W3" s="367" t="s">
        <v>830</v>
      </c>
      <c r="X3" s="367"/>
      <c r="Y3" s="367"/>
      <c r="Z3" s="367" t="s">
        <v>835</v>
      </c>
      <c r="AA3" s="367"/>
      <c r="AB3" s="367"/>
      <c r="AC3" s="367" t="s">
        <v>836</v>
      </c>
      <c r="AD3" s="367"/>
      <c r="AE3" s="367"/>
      <c r="AF3" s="367" t="s">
        <v>837</v>
      </c>
      <c r="AG3" s="367"/>
      <c r="AH3" s="367"/>
      <c r="AI3" s="367" t="s">
        <v>838</v>
      </c>
      <c r="AJ3" s="367"/>
      <c r="AK3" s="367"/>
      <c r="AL3" s="367" t="s">
        <v>855</v>
      </c>
      <c r="AM3" s="367"/>
      <c r="AN3" s="367"/>
      <c r="AO3" s="367" t="s">
        <v>850</v>
      </c>
      <c r="AP3" s="367"/>
      <c r="AQ3" s="367"/>
      <c r="AR3" s="367" t="s">
        <v>851</v>
      </c>
      <c r="AS3" s="367"/>
      <c r="AT3" s="367"/>
      <c r="AU3" s="367" t="s">
        <v>854</v>
      </c>
      <c r="AV3" s="367"/>
      <c r="AW3" s="367"/>
      <c r="AX3" s="367" t="s">
        <v>852</v>
      </c>
      <c r="AY3" s="367"/>
      <c r="AZ3" s="367"/>
      <c r="BA3" s="367" t="s">
        <v>853</v>
      </c>
      <c r="BB3" s="367"/>
      <c r="BC3" s="367"/>
      <c r="BD3" s="367" t="s">
        <v>877</v>
      </c>
      <c r="BE3" s="367"/>
      <c r="BF3" s="367"/>
      <c r="BG3" s="367" t="s">
        <v>878</v>
      </c>
      <c r="BH3" s="367"/>
      <c r="BI3" s="367"/>
    </row>
    <row r="4" spans="1:61" ht="36.75" customHeight="1" x14ac:dyDescent="0.25">
      <c r="B4" s="376"/>
      <c r="C4" s="380"/>
      <c r="D4" s="425"/>
      <c r="E4" s="405"/>
      <c r="F4" s="380"/>
      <c r="G4" s="39" t="s">
        <v>144</v>
      </c>
      <c r="H4" s="39" t="s">
        <v>145</v>
      </c>
      <c r="I4" s="382"/>
      <c r="J4" s="91" t="s">
        <v>798</v>
      </c>
      <c r="K4" s="91" t="s">
        <v>796</v>
      </c>
      <c r="L4" s="91" t="s">
        <v>795</v>
      </c>
      <c r="M4" s="91" t="s">
        <v>794</v>
      </c>
      <c r="N4" s="323" t="s">
        <v>107</v>
      </c>
      <c r="O4" s="323" t="s">
        <v>507</v>
      </c>
      <c r="P4" s="323" t="s">
        <v>508</v>
      </c>
      <c r="Q4" s="323" t="s">
        <v>107</v>
      </c>
      <c r="R4" s="323" t="s">
        <v>507</v>
      </c>
      <c r="S4" s="323" t="s">
        <v>508</v>
      </c>
      <c r="T4" s="323" t="s">
        <v>107</v>
      </c>
      <c r="U4" s="323" t="s">
        <v>507</v>
      </c>
      <c r="V4" s="323" t="s">
        <v>508</v>
      </c>
      <c r="W4" s="323" t="s">
        <v>107</v>
      </c>
      <c r="X4" s="323" t="s">
        <v>507</v>
      </c>
      <c r="Y4" s="323" t="s">
        <v>508</v>
      </c>
      <c r="Z4" s="323" t="s">
        <v>107</v>
      </c>
      <c r="AA4" s="323" t="s">
        <v>507</v>
      </c>
      <c r="AB4" s="323" t="s">
        <v>508</v>
      </c>
      <c r="AC4" s="323" t="s">
        <v>107</v>
      </c>
      <c r="AD4" s="323" t="s">
        <v>507</v>
      </c>
      <c r="AE4" s="323" t="s">
        <v>508</v>
      </c>
      <c r="AF4" s="323" t="s">
        <v>107</v>
      </c>
      <c r="AG4" s="323" t="s">
        <v>507</v>
      </c>
      <c r="AH4" s="323" t="s">
        <v>508</v>
      </c>
      <c r="AI4" s="323" t="s">
        <v>107</v>
      </c>
      <c r="AJ4" s="323" t="s">
        <v>507</v>
      </c>
      <c r="AK4" s="323" t="s">
        <v>508</v>
      </c>
      <c r="AL4" s="323" t="s">
        <v>107</v>
      </c>
      <c r="AM4" s="323" t="s">
        <v>507</v>
      </c>
      <c r="AN4" s="323" t="s">
        <v>508</v>
      </c>
      <c r="AO4" s="323" t="s">
        <v>107</v>
      </c>
      <c r="AP4" s="323" t="s">
        <v>507</v>
      </c>
      <c r="AQ4" s="323" t="s">
        <v>508</v>
      </c>
      <c r="AR4" s="323" t="s">
        <v>107</v>
      </c>
      <c r="AS4" s="323" t="s">
        <v>507</v>
      </c>
      <c r="AT4" s="323" t="s">
        <v>508</v>
      </c>
      <c r="AU4" s="323" t="s">
        <v>107</v>
      </c>
      <c r="AV4" s="323" t="s">
        <v>507</v>
      </c>
      <c r="AW4" s="323" t="s">
        <v>508</v>
      </c>
      <c r="AX4" s="323" t="s">
        <v>107</v>
      </c>
      <c r="AY4" s="323" t="s">
        <v>507</v>
      </c>
      <c r="AZ4" s="323" t="s">
        <v>508</v>
      </c>
      <c r="BA4" s="323" t="s">
        <v>107</v>
      </c>
      <c r="BB4" s="323" t="s">
        <v>507</v>
      </c>
      <c r="BC4" s="323" t="s">
        <v>508</v>
      </c>
      <c r="BD4" s="323" t="s">
        <v>107</v>
      </c>
      <c r="BE4" s="323" t="s">
        <v>507</v>
      </c>
      <c r="BF4" s="323" t="s">
        <v>508</v>
      </c>
      <c r="BG4" s="323" t="s">
        <v>107</v>
      </c>
      <c r="BH4" s="323" t="s">
        <v>507</v>
      </c>
      <c r="BI4" s="323" t="s">
        <v>508</v>
      </c>
    </row>
    <row r="5" spans="1:61" x14ac:dyDescent="0.25">
      <c r="B5" s="18" t="s">
        <v>74</v>
      </c>
      <c r="C5" s="18" t="s">
        <v>75</v>
      </c>
      <c r="D5" s="39" t="s">
        <v>76</v>
      </c>
      <c r="E5" s="39" t="s">
        <v>77</v>
      </c>
      <c r="F5" s="165" t="s">
        <v>78</v>
      </c>
      <c r="G5" s="149" t="s">
        <v>664</v>
      </c>
      <c r="H5" s="149" t="s">
        <v>665</v>
      </c>
      <c r="I5" s="91" t="s">
        <v>93</v>
      </c>
      <c r="J5" s="91" t="s">
        <v>94</v>
      </c>
      <c r="K5" s="91" t="s">
        <v>95</v>
      </c>
      <c r="L5" s="91" t="s">
        <v>96</v>
      </c>
      <c r="M5" s="91" t="s">
        <v>97</v>
      </c>
      <c r="N5" s="91" t="s">
        <v>98</v>
      </c>
      <c r="O5" s="91" t="s">
        <v>99</v>
      </c>
      <c r="P5" s="91" t="s">
        <v>100</v>
      </c>
      <c r="Q5" s="91" t="s">
        <v>101</v>
      </c>
      <c r="R5" s="91" t="s">
        <v>102</v>
      </c>
      <c r="S5" s="91" t="s">
        <v>103</v>
      </c>
      <c r="T5" s="91" t="s">
        <v>100</v>
      </c>
      <c r="U5" s="91" t="s">
        <v>109</v>
      </c>
      <c r="V5" s="91" t="s">
        <v>110</v>
      </c>
      <c r="W5" s="91" t="s">
        <v>518</v>
      </c>
      <c r="X5" s="91" t="s">
        <v>519</v>
      </c>
      <c r="Y5" s="91" t="s">
        <v>520</v>
      </c>
      <c r="Z5" s="91" t="s">
        <v>98</v>
      </c>
      <c r="AA5" s="91" t="s">
        <v>99</v>
      </c>
      <c r="AB5" s="91" t="s">
        <v>100</v>
      </c>
      <c r="AC5" s="91" t="s">
        <v>101</v>
      </c>
      <c r="AD5" s="91" t="s">
        <v>102</v>
      </c>
      <c r="AE5" s="91" t="s">
        <v>103</v>
      </c>
      <c r="AF5" s="91" t="s">
        <v>100</v>
      </c>
      <c r="AG5" s="91" t="s">
        <v>109</v>
      </c>
      <c r="AH5" s="91" t="s">
        <v>110</v>
      </c>
      <c r="AI5" s="91" t="s">
        <v>518</v>
      </c>
      <c r="AJ5" s="91" t="s">
        <v>519</v>
      </c>
      <c r="AK5" s="91" t="s">
        <v>520</v>
      </c>
      <c r="AL5" s="91" t="s">
        <v>521</v>
      </c>
      <c r="AM5" s="91" t="s">
        <v>517</v>
      </c>
      <c r="AN5" s="91" t="s">
        <v>522</v>
      </c>
      <c r="AO5" s="91" t="s">
        <v>862</v>
      </c>
      <c r="AP5" s="91" t="s">
        <v>863</v>
      </c>
      <c r="AQ5" s="91" t="s">
        <v>864</v>
      </c>
      <c r="AR5" s="91" t="s">
        <v>865</v>
      </c>
      <c r="AS5" s="91" t="s">
        <v>866</v>
      </c>
      <c r="AT5" s="91" t="s">
        <v>867</v>
      </c>
      <c r="AU5" s="91" t="s">
        <v>868</v>
      </c>
      <c r="AV5" s="91" t="s">
        <v>869</v>
      </c>
      <c r="AW5" s="91" t="s">
        <v>870</v>
      </c>
      <c r="AX5" s="91" t="s">
        <v>871</v>
      </c>
      <c r="AY5" s="91" t="s">
        <v>872</v>
      </c>
      <c r="AZ5" s="91" t="s">
        <v>873</v>
      </c>
      <c r="BA5" s="91" t="s">
        <v>874</v>
      </c>
      <c r="BB5" s="91" t="s">
        <v>875</v>
      </c>
      <c r="BC5" s="91" t="s">
        <v>876</v>
      </c>
      <c r="BD5" s="91" t="s">
        <v>98</v>
      </c>
      <c r="BE5" s="91" t="s">
        <v>99</v>
      </c>
      <c r="BF5" s="91" t="s">
        <v>100</v>
      </c>
      <c r="BG5" s="91" t="s">
        <v>100</v>
      </c>
      <c r="BH5" s="91" t="s">
        <v>109</v>
      </c>
      <c r="BI5" s="91" t="s">
        <v>110</v>
      </c>
    </row>
    <row r="6" spans="1:61" s="7" customFormat="1" ht="38.25" x14ac:dyDescent="0.25">
      <c r="A6"/>
      <c r="B6" s="438">
        <v>1</v>
      </c>
      <c r="C6" s="223" t="s">
        <v>833</v>
      </c>
      <c r="D6" s="104"/>
      <c r="E6" s="224"/>
      <c r="F6" s="224"/>
      <c r="G6" s="208"/>
      <c r="H6" s="208"/>
      <c r="I6" s="225"/>
      <c r="J6" s="220"/>
      <c r="K6" s="220"/>
      <c r="L6" s="220"/>
      <c r="M6" s="77"/>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row>
    <row r="7" spans="1:61" s="7" customFormat="1" ht="15" x14ac:dyDescent="0.25">
      <c r="A7"/>
      <c r="B7" s="439"/>
      <c r="C7" s="226" t="s">
        <v>634</v>
      </c>
      <c r="D7" s="104" t="s">
        <v>50</v>
      </c>
      <c r="E7" s="221" t="s">
        <v>90</v>
      </c>
      <c r="F7" s="224"/>
      <c r="G7" s="115">
        <f>J7+289</f>
        <v>1048</v>
      </c>
      <c r="H7" s="115">
        <f>(J7*1.5)+289</f>
        <v>1427.5</v>
      </c>
      <c r="I7" s="435" t="s">
        <v>797</v>
      </c>
      <c r="J7" s="227">
        <v>759</v>
      </c>
      <c r="K7" s="227">
        <v>690</v>
      </c>
      <c r="L7" s="227">
        <v>650</v>
      </c>
      <c r="M7" s="173">
        <v>738</v>
      </c>
      <c r="N7" s="44"/>
      <c r="O7" s="44">
        <f t="shared" ref="O7:O48" si="0">$G7*N7</f>
        <v>0</v>
      </c>
      <c r="P7" s="44">
        <f t="shared" ref="P7:P48" si="1">$H7*N7</f>
        <v>0</v>
      </c>
      <c r="Q7" s="44">
        <v>1000</v>
      </c>
      <c r="R7" s="44">
        <f>$G7*Q7</f>
        <v>1048000</v>
      </c>
      <c r="S7" s="44">
        <f>$H7*Q7</f>
        <v>1427500</v>
      </c>
      <c r="T7" s="44"/>
      <c r="U7" s="44">
        <f>$G7*T7</f>
        <v>0</v>
      </c>
      <c r="V7" s="44">
        <f>$H7*T7</f>
        <v>0</v>
      </c>
      <c r="W7" s="44">
        <v>1000</v>
      </c>
      <c r="X7" s="44">
        <f>$G7*W7</f>
        <v>1048000</v>
      </c>
      <c r="Y7" s="44">
        <f>$H7*W7</f>
        <v>1427500</v>
      </c>
      <c r="Z7" s="44"/>
      <c r="AA7" s="44">
        <f t="shared" ref="AA7:AA48" si="2">$G7*Z7</f>
        <v>0</v>
      </c>
      <c r="AB7" s="44">
        <f>$H7*Z7</f>
        <v>0</v>
      </c>
      <c r="AC7" s="44"/>
      <c r="AD7" s="44">
        <f>$G7*AC7</f>
        <v>0</v>
      </c>
      <c r="AE7" s="44">
        <f>$H7*AC7</f>
        <v>0</v>
      </c>
      <c r="AF7" s="44"/>
      <c r="AG7" s="44">
        <f>$G7*AF7</f>
        <v>0</v>
      </c>
      <c r="AH7" s="44">
        <f>$H7*AF7</f>
        <v>0</v>
      </c>
      <c r="AI7" s="44"/>
      <c r="AJ7" s="44">
        <f>$G7*AI7</f>
        <v>0</v>
      </c>
      <c r="AK7" s="44">
        <f>$H7*AI7</f>
        <v>0</v>
      </c>
      <c r="AL7" s="44"/>
      <c r="AM7" s="44">
        <f>$G7*AL7</f>
        <v>0</v>
      </c>
      <c r="AN7" s="44">
        <f>$H7*AL7</f>
        <v>0</v>
      </c>
      <c r="AO7" s="44"/>
      <c r="AP7" s="44">
        <f>$G7*AO7</f>
        <v>0</v>
      </c>
      <c r="AQ7" s="44">
        <f>$H7*AO7</f>
        <v>0</v>
      </c>
      <c r="AR7" s="44">
        <v>2000</v>
      </c>
      <c r="AS7" s="44">
        <f>$G7*AR7</f>
        <v>2096000</v>
      </c>
      <c r="AT7" s="44">
        <f>$H7*AR7</f>
        <v>2855000</v>
      </c>
      <c r="AU7" s="44"/>
      <c r="AV7" s="44">
        <f>$G7*AU7</f>
        <v>0</v>
      </c>
      <c r="AW7" s="44">
        <f>$H7*AU7</f>
        <v>0</v>
      </c>
      <c r="AX7" s="44"/>
      <c r="AY7" s="44">
        <f>$G7*AX7</f>
        <v>0</v>
      </c>
      <c r="AZ7" s="44">
        <f>$H7*AX7</f>
        <v>0</v>
      </c>
      <c r="BA7" s="44">
        <v>2000</v>
      </c>
      <c r="BB7" s="44">
        <f>$G7*BA7</f>
        <v>2096000</v>
      </c>
      <c r="BC7" s="44">
        <f>$H7*BA7</f>
        <v>2855000</v>
      </c>
      <c r="BD7" s="44"/>
      <c r="BE7" s="44">
        <f t="shared" ref="BE7:BE48" si="3">$G7*BD7</f>
        <v>0</v>
      </c>
      <c r="BF7" s="44">
        <f t="shared" ref="BF7:BF48" si="4">$H7*BD7</f>
        <v>0</v>
      </c>
      <c r="BG7" s="44"/>
      <c r="BH7" s="44">
        <f>$G7*BG7</f>
        <v>0</v>
      </c>
      <c r="BI7" s="44">
        <f>$H7*BG7</f>
        <v>0</v>
      </c>
    </row>
    <row r="8" spans="1:61" s="7" customFormat="1" ht="15" x14ac:dyDescent="0.25">
      <c r="A8"/>
      <c r="B8" s="439"/>
      <c r="C8" s="226" t="s">
        <v>635</v>
      </c>
      <c r="D8" s="104" t="s">
        <v>50</v>
      </c>
      <c r="E8" s="221" t="s">
        <v>90</v>
      </c>
      <c r="F8" s="224"/>
      <c r="G8" s="115">
        <f>J8+366</f>
        <v>1295</v>
      </c>
      <c r="H8" s="115">
        <f>(J8*1.5)+366</f>
        <v>1759.5</v>
      </c>
      <c r="I8" s="436"/>
      <c r="J8" s="227">
        <v>929</v>
      </c>
      <c r="K8" s="227">
        <v>786.6</v>
      </c>
      <c r="L8" s="227">
        <v>650</v>
      </c>
      <c r="M8" s="173">
        <v>738</v>
      </c>
      <c r="N8" s="44">
        <v>1000</v>
      </c>
      <c r="O8" s="44">
        <f t="shared" si="0"/>
        <v>1295000</v>
      </c>
      <c r="P8" s="44">
        <f t="shared" si="1"/>
        <v>1759500</v>
      </c>
      <c r="Q8" s="44"/>
      <c r="R8" s="44">
        <f t="shared" ref="R8:R48" si="5">$G8*Q8</f>
        <v>0</v>
      </c>
      <c r="S8" s="44">
        <f t="shared" ref="S8:S48" si="6">$H8*Q8</f>
        <v>0</v>
      </c>
      <c r="T8" s="44">
        <v>1000</v>
      </c>
      <c r="U8" s="44">
        <f t="shared" ref="U8:U48" si="7">$G8*T8</f>
        <v>1295000</v>
      </c>
      <c r="V8" s="44">
        <f t="shared" ref="V8:V48" si="8">$H8*T8</f>
        <v>1759500</v>
      </c>
      <c r="W8" s="44"/>
      <c r="X8" s="44">
        <f t="shared" ref="X8:X48" si="9">$G8*W8</f>
        <v>0</v>
      </c>
      <c r="Y8" s="44">
        <f t="shared" ref="Y8:Y48" si="10">$H8*W8</f>
        <v>0</v>
      </c>
      <c r="Z8" s="44"/>
      <c r="AA8" s="44">
        <f t="shared" si="2"/>
        <v>0</v>
      </c>
      <c r="AB8" s="44">
        <f t="shared" ref="AB8:AB48" si="11">$H8*Z8</f>
        <v>0</v>
      </c>
      <c r="AC8" s="44"/>
      <c r="AD8" s="44">
        <f t="shared" ref="AD8:AD48" si="12">$G8*AC8</f>
        <v>0</v>
      </c>
      <c r="AE8" s="44">
        <f t="shared" ref="AE8:AE48" si="13">$H8*AC8</f>
        <v>0</v>
      </c>
      <c r="AF8" s="44"/>
      <c r="AG8" s="44">
        <f t="shared" ref="AG8:AG48" si="14">$G8*AF8</f>
        <v>0</v>
      </c>
      <c r="AH8" s="44">
        <f t="shared" ref="AH8:AH48" si="15">$H8*AF8</f>
        <v>0</v>
      </c>
      <c r="AI8" s="44"/>
      <c r="AJ8" s="44">
        <f t="shared" ref="AJ8:AJ48" si="16">$G8*AI8</f>
        <v>0</v>
      </c>
      <c r="AK8" s="44">
        <f t="shared" ref="AK8:AK48" si="17">$H8*AI8</f>
        <v>0</v>
      </c>
      <c r="AL8" s="44">
        <v>2000</v>
      </c>
      <c r="AM8" s="44">
        <f t="shared" ref="AM8:AM48" si="18">$G8*AL8</f>
        <v>2590000</v>
      </c>
      <c r="AN8" s="44">
        <f t="shared" ref="AN8:AN48" si="19">$H8*AL8</f>
        <v>3519000</v>
      </c>
      <c r="AO8" s="44">
        <v>2000</v>
      </c>
      <c r="AP8" s="44">
        <f t="shared" ref="AP8:AP48" si="20">$G8*AO8</f>
        <v>2590000</v>
      </c>
      <c r="AQ8" s="44">
        <f t="shared" ref="AQ8:AQ48" si="21">$H8*AO8</f>
        <v>3519000</v>
      </c>
      <c r="AR8" s="44"/>
      <c r="AS8" s="44">
        <f t="shared" ref="AS8:AS48" si="22">$G8*AR8</f>
        <v>0</v>
      </c>
      <c r="AT8" s="44">
        <f t="shared" ref="AT8:AT48" si="23">$H8*AR8</f>
        <v>0</v>
      </c>
      <c r="AU8" s="44">
        <v>2000</v>
      </c>
      <c r="AV8" s="44">
        <f t="shared" ref="AV8:AV48" si="24">$G8*AU8</f>
        <v>2590000</v>
      </c>
      <c r="AW8" s="44">
        <f t="shared" ref="AW8:AW48" si="25">$H8*AU8</f>
        <v>3519000</v>
      </c>
      <c r="AX8" s="44">
        <v>2000</v>
      </c>
      <c r="AY8" s="44">
        <f t="shared" ref="AY8:AY48" si="26">$G8*AX8</f>
        <v>2590000</v>
      </c>
      <c r="AZ8" s="44">
        <f t="shared" ref="AZ8:AZ48" si="27">$H8*AX8</f>
        <v>3519000</v>
      </c>
      <c r="BA8" s="44"/>
      <c r="BB8" s="44">
        <f t="shared" ref="BB8:BB48" si="28">$G8*BA8</f>
        <v>0</v>
      </c>
      <c r="BC8" s="44">
        <f t="shared" ref="BC8:BC48" si="29">$H8*BA8</f>
        <v>0</v>
      </c>
      <c r="BD8" s="44">
        <v>1000</v>
      </c>
      <c r="BE8" s="44">
        <f t="shared" si="3"/>
        <v>1295000</v>
      </c>
      <c r="BF8" s="44">
        <f t="shared" si="4"/>
        <v>1759500</v>
      </c>
      <c r="BG8" s="44">
        <v>1000</v>
      </c>
      <c r="BH8" s="44">
        <f t="shared" ref="BH8:BH48" si="30">$G8*BG8</f>
        <v>1295000</v>
      </c>
      <c r="BI8" s="44">
        <f t="shared" ref="BI8:BI48" si="31">$H8*BG8</f>
        <v>1759500</v>
      </c>
    </row>
    <row r="9" spans="1:61" s="7" customFormat="1" ht="15" x14ac:dyDescent="0.25">
      <c r="A9"/>
      <c r="B9" s="440"/>
      <c r="C9" s="226" t="s">
        <v>636</v>
      </c>
      <c r="D9" s="104" t="s">
        <v>50</v>
      </c>
      <c r="E9" s="221" t="s">
        <v>90</v>
      </c>
      <c r="F9" s="224"/>
      <c r="G9" s="115">
        <f>J9+570</f>
        <v>1719</v>
      </c>
      <c r="H9" s="115">
        <f>(J9*1.5)+570</f>
        <v>2293.5</v>
      </c>
      <c r="I9" s="437"/>
      <c r="J9" s="227">
        <v>1149</v>
      </c>
      <c r="K9" s="227">
        <v>885.5</v>
      </c>
      <c r="L9" s="227">
        <v>650</v>
      </c>
      <c r="M9" s="173">
        <v>738</v>
      </c>
      <c r="N9" s="44"/>
      <c r="O9" s="44">
        <f t="shared" si="0"/>
        <v>0</v>
      </c>
      <c r="P9" s="44">
        <f t="shared" si="1"/>
        <v>0</v>
      </c>
      <c r="Q9" s="44"/>
      <c r="R9" s="44">
        <f t="shared" si="5"/>
        <v>0</v>
      </c>
      <c r="S9" s="44">
        <f t="shared" si="6"/>
        <v>0</v>
      </c>
      <c r="T9" s="44"/>
      <c r="U9" s="44">
        <f t="shared" si="7"/>
        <v>0</v>
      </c>
      <c r="V9" s="44">
        <f t="shared" si="8"/>
        <v>0</v>
      </c>
      <c r="W9" s="44"/>
      <c r="X9" s="44">
        <f t="shared" si="9"/>
        <v>0</v>
      </c>
      <c r="Y9" s="44">
        <f t="shared" si="10"/>
        <v>0</v>
      </c>
      <c r="Z9" s="44"/>
      <c r="AA9" s="44">
        <f t="shared" si="2"/>
        <v>0</v>
      </c>
      <c r="AB9" s="44">
        <f t="shared" si="11"/>
        <v>0</v>
      </c>
      <c r="AC9" s="44"/>
      <c r="AD9" s="44">
        <f t="shared" si="12"/>
        <v>0</v>
      </c>
      <c r="AE9" s="44">
        <f t="shared" si="13"/>
        <v>0</v>
      </c>
      <c r="AF9" s="44"/>
      <c r="AG9" s="44">
        <f t="shared" si="14"/>
        <v>0</v>
      </c>
      <c r="AH9" s="44">
        <f t="shared" si="15"/>
        <v>0</v>
      </c>
      <c r="AI9" s="44"/>
      <c r="AJ9" s="44">
        <f t="shared" si="16"/>
        <v>0</v>
      </c>
      <c r="AK9" s="44">
        <f t="shared" si="17"/>
        <v>0</v>
      </c>
      <c r="AL9" s="44"/>
      <c r="AM9" s="44">
        <f t="shared" si="18"/>
        <v>0</v>
      </c>
      <c r="AN9" s="44">
        <f t="shared" si="19"/>
        <v>0</v>
      </c>
      <c r="AO9" s="44"/>
      <c r="AP9" s="44">
        <f t="shared" si="20"/>
        <v>0</v>
      </c>
      <c r="AQ9" s="44">
        <f t="shared" si="21"/>
        <v>0</v>
      </c>
      <c r="AR9" s="44"/>
      <c r="AS9" s="44">
        <f t="shared" si="22"/>
        <v>0</v>
      </c>
      <c r="AT9" s="44">
        <f t="shared" si="23"/>
        <v>0</v>
      </c>
      <c r="AU9" s="44"/>
      <c r="AV9" s="44">
        <f t="shared" si="24"/>
        <v>0</v>
      </c>
      <c r="AW9" s="44">
        <f t="shared" si="25"/>
        <v>0</v>
      </c>
      <c r="AX9" s="44"/>
      <c r="AY9" s="44">
        <f t="shared" si="26"/>
        <v>0</v>
      </c>
      <c r="AZ9" s="44">
        <f t="shared" si="27"/>
        <v>0</v>
      </c>
      <c r="BA9" s="44"/>
      <c r="BB9" s="44">
        <f t="shared" si="28"/>
        <v>0</v>
      </c>
      <c r="BC9" s="44">
        <f t="shared" si="29"/>
        <v>0</v>
      </c>
      <c r="BD9" s="44"/>
      <c r="BE9" s="44">
        <f t="shared" si="3"/>
        <v>0</v>
      </c>
      <c r="BF9" s="44">
        <f t="shared" si="4"/>
        <v>0</v>
      </c>
      <c r="BG9" s="44"/>
      <c r="BH9" s="44">
        <f t="shared" si="30"/>
        <v>0</v>
      </c>
      <c r="BI9" s="44">
        <f t="shared" si="31"/>
        <v>0</v>
      </c>
    </row>
    <row r="10" spans="1:61" s="7" customFormat="1" ht="15" x14ac:dyDescent="0.25">
      <c r="B10" s="88">
        <v>2</v>
      </c>
      <c r="C10" s="85" t="s">
        <v>498</v>
      </c>
      <c r="D10" s="88" t="s">
        <v>150</v>
      </c>
      <c r="E10" s="228" t="s">
        <v>90</v>
      </c>
      <c r="F10" s="229"/>
      <c r="G10" s="115">
        <f>(1.2*0.5*1)*96</f>
        <v>57.599999999999994</v>
      </c>
      <c r="H10" s="115">
        <f>G10*1.5</f>
        <v>86.399999999999991</v>
      </c>
      <c r="I10" s="429" t="s">
        <v>499</v>
      </c>
      <c r="J10" s="230"/>
      <c r="K10" s="230"/>
      <c r="L10" s="230"/>
      <c r="M10" s="172"/>
      <c r="N10" s="44"/>
      <c r="O10" s="44">
        <f t="shared" si="0"/>
        <v>0</v>
      </c>
      <c r="P10" s="44">
        <f t="shared" si="1"/>
        <v>0</v>
      </c>
      <c r="Q10" s="44"/>
      <c r="R10" s="44">
        <f t="shared" si="5"/>
        <v>0</v>
      </c>
      <c r="S10" s="44">
        <f t="shared" si="6"/>
        <v>0</v>
      </c>
      <c r="T10" s="44"/>
      <c r="U10" s="44">
        <f t="shared" si="7"/>
        <v>0</v>
      </c>
      <c r="V10" s="44">
        <f t="shared" si="8"/>
        <v>0</v>
      </c>
      <c r="W10" s="44"/>
      <c r="X10" s="44">
        <f t="shared" si="9"/>
        <v>0</v>
      </c>
      <c r="Y10" s="44">
        <f t="shared" si="10"/>
        <v>0</v>
      </c>
      <c r="Z10" s="44">
        <v>1000</v>
      </c>
      <c r="AA10" s="44">
        <f t="shared" si="2"/>
        <v>57599.999999999993</v>
      </c>
      <c r="AB10" s="44">
        <f t="shared" si="11"/>
        <v>86399.999999999985</v>
      </c>
      <c r="AC10" s="44">
        <v>1000</v>
      </c>
      <c r="AD10" s="44">
        <f t="shared" si="12"/>
        <v>57599.999999999993</v>
      </c>
      <c r="AE10" s="44">
        <f t="shared" si="13"/>
        <v>86399.999999999985</v>
      </c>
      <c r="AF10" s="44">
        <v>1000</v>
      </c>
      <c r="AG10" s="44">
        <f>$G10*AF10</f>
        <v>57599.999999999993</v>
      </c>
      <c r="AH10" s="44">
        <f t="shared" si="15"/>
        <v>86399.999999999985</v>
      </c>
      <c r="AI10" s="44">
        <v>1000</v>
      </c>
      <c r="AJ10" s="44">
        <f t="shared" si="16"/>
        <v>57599.999999999993</v>
      </c>
      <c r="AK10" s="44">
        <f t="shared" si="17"/>
        <v>86399.999999999985</v>
      </c>
      <c r="AL10" s="44"/>
      <c r="AM10" s="44">
        <f t="shared" si="18"/>
        <v>0</v>
      </c>
      <c r="AN10" s="44">
        <f t="shared" si="19"/>
        <v>0</v>
      </c>
      <c r="AO10" s="44"/>
      <c r="AP10" s="44">
        <f t="shared" si="20"/>
        <v>0</v>
      </c>
      <c r="AQ10" s="44">
        <f t="shared" si="21"/>
        <v>0</v>
      </c>
      <c r="AR10" s="44"/>
      <c r="AS10" s="44">
        <f t="shared" si="22"/>
        <v>0</v>
      </c>
      <c r="AT10" s="44">
        <f t="shared" si="23"/>
        <v>0</v>
      </c>
      <c r="AU10" s="44"/>
      <c r="AV10" s="44">
        <f t="shared" si="24"/>
        <v>0</v>
      </c>
      <c r="AW10" s="44">
        <f t="shared" si="25"/>
        <v>0</v>
      </c>
      <c r="AX10" s="44"/>
      <c r="AY10" s="44">
        <f t="shared" si="26"/>
        <v>0</v>
      </c>
      <c r="AZ10" s="44">
        <f t="shared" si="27"/>
        <v>0</v>
      </c>
      <c r="BA10" s="44"/>
      <c r="BB10" s="44">
        <f t="shared" si="28"/>
        <v>0</v>
      </c>
      <c r="BC10" s="44">
        <f t="shared" si="29"/>
        <v>0</v>
      </c>
      <c r="BD10" s="44"/>
      <c r="BE10" s="44">
        <f t="shared" si="3"/>
        <v>0</v>
      </c>
      <c r="BF10" s="44">
        <f t="shared" si="4"/>
        <v>0</v>
      </c>
      <c r="BG10" s="44"/>
      <c r="BH10" s="44">
        <f t="shared" si="30"/>
        <v>0</v>
      </c>
      <c r="BI10" s="44">
        <f t="shared" si="31"/>
        <v>0</v>
      </c>
    </row>
    <row r="11" spans="1:61" s="43" customFormat="1" x14ac:dyDescent="0.25">
      <c r="B11" s="88">
        <v>3</v>
      </c>
      <c r="C11" s="85" t="s">
        <v>493</v>
      </c>
      <c r="D11" s="88" t="s">
        <v>150</v>
      </c>
      <c r="E11" s="228" t="s">
        <v>90</v>
      </c>
      <c r="F11" s="88"/>
      <c r="G11" s="115">
        <f>(0.6*0.5*1)*96</f>
        <v>28.799999999999997</v>
      </c>
      <c r="H11" s="115">
        <f>G11*1.5</f>
        <v>43.199999999999996</v>
      </c>
      <c r="I11" s="430"/>
      <c r="J11" s="230"/>
      <c r="K11" s="230"/>
      <c r="L11" s="230"/>
      <c r="M11" s="172"/>
      <c r="N11" s="44"/>
      <c r="O11" s="44">
        <f t="shared" si="0"/>
        <v>0</v>
      </c>
      <c r="P11" s="44">
        <f t="shared" si="1"/>
        <v>0</v>
      </c>
      <c r="Q11" s="44"/>
      <c r="R11" s="44">
        <f t="shared" si="5"/>
        <v>0</v>
      </c>
      <c r="S11" s="44">
        <f t="shared" si="6"/>
        <v>0</v>
      </c>
      <c r="T11" s="44"/>
      <c r="U11" s="44">
        <f t="shared" si="7"/>
        <v>0</v>
      </c>
      <c r="V11" s="44">
        <f t="shared" si="8"/>
        <v>0</v>
      </c>
      <c r="W11" s="44"/>
      <c r="X11" s="44">
        <f t="shared" si="9"/>
        <v>0</v>
      </c>
      <c r="Y11" s="44">
        <f t="shared" si="10"/>
        <v>0</v>
      </c>
      <c r="Z11" s="44"/>
      <c r="AA11" s="44">
        <f t="shared" si="2"/>
        <v>0</v>
      </c>
      <c r="AB11" s="44">
        <f t="shared" si="11"/>
        <v>0</v>
      </c>
      <c r="AC11" s="44"/>
      <c r="AD11" s="44">
        <f t="shared" si="12"/>
        <v>0</v>
      </c>
      <c r="AE11" s="44">
        <f t="shared" si="13"/>
        <v>0</v>
      </c>
      <c r="AF11" s="44"/>
      <c r="AG11" s="44">
        <f t="shared" si="14"/>
        <v>0</v>
      </c>
      <c r="AH11" s="44">
        <f t="shared" si="15"/>
        <v>0</v>
      </c>
      <c r="AI11" s="44"/>
      <c r="AJ11" s="44">
        <f t="shared" si="16"/>
        <v>0</v>
      </c>
      <c r="AK11" s="44">
        <f t="shared" si="17"/>
        <v>0</v>
      </c>
      <c r="AL11" s="44"/>
      <c r="AM11" s="44">
        <f t="shared" si="18"/>
        <v>0</v>
      </c>
      <c r="AN11" s="44">
        <f t="shared" si="19"/>
        <v>0</v>
      </c>
      <c r="AO11" s="44"/>
      <c r="AP11" s="44">
        <f t="shared" si="20"/>
        <v>0</v>
      </c>
      <c r="AQ11" s="44">
        <f t="shared" si="21"/>
        <v>0</v>
      </c>
      <c r="AR11" s="44"/>
      <c r="AS11" s="44">
        <f t="shared" si="22"/>
        <v>0</v>
      </c>
      <c r="AT11" s="44">
        <f t="shared" si="23"/>
        <v>0</v>
      </c>
      <c r="AU11" s="44"/>
      <c r="AV11" s="44">
        <f t="shared" si="24"/>
        <v>0</v>
      </c>
      <c r="AW11" s="44">
        <f t="shared" si="25"/>
        <v>0</v>
      </c>
      <c r="AX11" s="44"/>
      <c r="AY11" s="44">
        <f t="shared" si="26"/>
        <v>0</v>
      </c>
      <c r="AZ11" s="44">
        <f t="shared" si="27"/>
        <v>0</v>
      </c>
      <c r="BA11" s="44"/>
      <c r="BB11" s="44">
        <f t="shared" si="28"/>
        <v>0</v>
      </c>
      <c r="BC11" s="44">
        <f t="shared" si="29"/>
        <v>0</v>
      </c>
      <c r="BD11" s="44"/>
      <c r="BE11" s="44">
        <f t="shared" si="3"/>
        <v>0</v>
      </c>
      <c r="BF11" s="44">
        <f t="shared" si="4"/>
        <v>0</v>
      </c>
      <c r="BG11" s="44"/>
      <c r="BH11" s="44">
        <f t="shared" si="30"/>
        <v>0</v>
      </c>
      <c r="BI11" s="44">
        <f t="shared" si="31"/>
        <v>0</v>
      </c>
    </row>
    <row r="12" spans="1:61" s="43" customFormat="1" ht="15.75" customHeight="1" x14ac:dyDescent="0.25">
      <c r="B12" s="88">
        <v>4</v>
      </c>
      <c r="C12" s="57" t="s">
        <v>494</v>
      </c>
      <c r="D12" s="89" t="s">
        <v>495</v>
      </c>
      <c r="E12" s="228" t="s">
        <v>90</v>
      </c>
      <c r="F12" s="88"/>
      <c r="G12" s="115">
        <v>207.67</v>
      </c>
      <c r="H12" s="115">
        <f t="shared" ref="H12:H14" si="32">G12</f>
        <v>207.67</v>
      </c>
      <c r="I12" s="430"/>
      <c r="J12" s="230"/>
      <c r="K12" s="230"/>
      <c r="L12" s="230"/>
      <c r="M12" s="172"/>
      <c r="N12" s="44"/>
      <c r="O12" s="44">
        <f t="shared" si="0"/>
        <v>0</v>
      </c>
      <c r="P12" s="44">
        <f t="shared" si="1"/>
        <v>0</v>
      </c>
      <c r="Q12" s="44"/>
      <c r="R12" s="44">
        <f t="shared" si="5"/>
        <v>0</v>
      </c>
      <c r="S12" s="44">
        <f t="shared" si="6"/>
        <v>0</v>
      </c>
      <c r="T12" s="44"/>
      <c r="U12" s="44">
        <f t="shared" si="7"/>
        <v>0</v>
      </c>
      <c r="V12" s="44">
        <f t="shared" si="8"/>
        <v>0</v>
      </c>
      <c r="W12" s="44"/>
      <c r="X12" s="44">
        <f t="shared" si="9"/>
        <v>0</v>
      </c>
      <c r="Y12" s="44">
        <f t="shared" si="10"/>
        <v>0</v>
      </c>
      <c r="Z12" s="44">
        <v>600</v>
      </c>
      <c r="AA12" s="44">
        <f t="shared" si="2"/>
        <v>124601.99999999999</v>
      </c>
      <c r="AB12" s="44">
        <f t="shared" si="11"/>
        <v>124601.99999999999</v>
      </c>
      <c r="AC12" s="44">
        <v>600</v>
      </c>
      <c r="AD12" s="44">
        <f t="shared" si="12"/>
        <v>124601.99999999999</v>
      </c>
      <c r="AE12" s="44">
        <f t="shared" si="13"/>
        <v>124601.99999999999</v>
      </c>
      <c r="AF12" s="44">
        <v>600</v>
      </c>
      <c r="AG12" s="44">
        <f t="shared" si="14"/>
        <v>124601.99999999999</v>
      </c>
      <c r="AH12" s="44">
        <f t="shared" si="15"/>
        <v>124601.99999999999</v>
      </c>
      <c r="AI12" s="44">
        <v>600</v>
      </c>
      <c r="AJ12" s="44">
        <f t="shared" si="16"/>
        <v>124601.99999999999</v>
      </c>
      <c r="AK12" s="44">
        <f t="shared" si="17"/>
        <v>124601.99999999999</v>
      </c>
      <c r="AL12" s="44"/>
      <c r="AM12" s="44">
        <f t="shared" si="18"/>
        <v>0</v>
      </c>
      <c r="AN12" s="44">
        <f t="shared" si="19"/>
        <v>0</v>
      </c>
      <c r="AO12" s="44"/>
      <c r="AP12" s="44">
        <f t="shared" si="20"/>
        <v>0</v>
      </c>
      <c r="AQ12" s="44">
        <f t="shared" si="21"/>
        <v>0</v>
      </c>
      <c r="AR12" s="44"/>
      <c r="AS12" s="44">
        <f t="shared" si="22"/>
        <v>0</v>
      </c>
      <c r="AT12" s="44">
        <f t="shared" si="23"/>
        <v>0</v>
      </c>
      <c r="AU12" s="44"/>
      <c r="AV12" s="44">
        <f t="shared" si="24"/>
        <v>0</v>
      </c>
      <c r="AW12" s="44">
        <f t="shared" si="25"/>
        <v>0</v>
      </c>
      <c r="AX12" s="44"/>
      <c r="AY12" s="44">
        <f t="shared" si="26"/>
        <v>0</v>
      </c>
      <c r="AZ12" s="44">
        <f t="shared" si="27"/>
        <v>0</v>
      </c>
      <c r="BA12" s="44"/>
      <c r="BB12" s="44">
        <f t="shared" si="28"/>
        <v>0</v>
      </c>
      <c r="BC12" s="44">
        <f t="shared" si="29"/>
        <v>0</v>
      </c>
      <c r="BD12" s="44"/>
      <c r="BE12" s="44">
        <f t="shared" si="3"/>
        <v>0</v>
      </c>
      <c r="BF12" s="44">
        <f t="shared" si="4"/>
        <v>0</v>
      </c>
      <c r="BG12" s="44"/>
      <c r="BH12" s="44">
        <f t="shared" si="30"/>
        <v>0</v>
      </c>
      <c r="BI12" s="44">
        <f t="shared" si="31"/>
        <v>0</v>
      </c>
    </row>
    <row r="13" spans="1:61" s="43" customFormat="1" x14ac:dyDescent="0.25">
      <c r="B13" s="88">
        <v>5</v>
      </c>
      <c r="C13" s="57" t="s">
        <v>496</v>
      </c>
      <c r="D13" s="89" t="s">
        <v>497</v>
      </c>
      <c r="E13" s="228" t="s">
        <v>90</v>
      </c>
      <c r="F13" s="88"/>
      <c r="G13" s="115">
        <v>233.02</v>
      </c>
      <c r="H13" s="115">
        <f t="shared" si="32"/>
        <v>233.02</v>
      </c>
      <c r="I13" s="431"/>
      <c r="J13" s="230"/>
      <c r="K13" s="230"/>
      <c r="L13" s="230"/>
      <c r="M13" s="172"/>
      <c r="N13" s="44"/>
      <c r="O13" s="44">
        <f t="shared" si="0"/>
        <v>0</v>
      </c>
      <c r="P13" s="44">
        <f t="shared" si="1"/>
        <v>0</v>
      </c>
      <c r="Q13" s="44"/>
      <c r="R13" s="44">
        <f t="shared" si="5"/>
        <v>0</v>
      </c>
      <c r="S13" s="44">
        <f t="shared" si="6"/>
        <v>0</v>
      </c>
      <c r="T13" s="44"/>
      <c r="U13" s="44">
        <f t="shared" si="7"/>
        <v>0</v>
      </c>
      <c r="V13" s="44">
        <f t="shared" si="8"/>
        <v>0</v>
      </c>
      <c r="W13" s="44"/>
      <c r="X13" s="44">
        <f t="shared" si="9"/>
        <v>0</v>
      </c>
      <c r="Y13" s="44">
        <f t="shared" si="10"/>
        <v>0</v>
      </c>
      <c r="Z13" s="44">
        <v>500</v>
      </c>
      <c r="AA13" s="44">
        <f t="shared" si="2"/>
        <v>116510</v>
      </c>
      <c r="AB13" s="44">
        <f t="shared" si="11"/>
        <v>116510</v>
      </c>
      <c r="AC13" s="44">
        <v>500</v>
      </c>
      <c r="AD13" s="44">
        <f t="shared" si="12"/>
        <v>116510</v>
      </c>
      <c r="AE13" s="44">
        <f t="shared" si="13"/>
        <v>116510</v>
      </c>
      <c r="AF13" s="44">
        <v>500</v>
      </c>
      <c r="AG13" s="44">
        <f t="shared" si="14"/>
        <v>116510</v>
      </c>
      <c r="AH13" s="44">
        <f t="shared" si="15"/>
        <v>116510</v>
      </c>
      <c r="AI13" s="44">
        <v>500</v>
      </c>
      <c r="AJ13" s="44">
        <f t="shared" si="16"/>
        <v>116510</v>
      </c>
      <c r="AK13" s="44">
        <f t="shared" si="17"/>
        <v>116510</v>
      </c>
      <c r="AL13" s="44"/>
      <c r="AM13" s="44">
        <f t="shared" si="18"/>
        <v>0</v>
      </c>
      <c r="AN13" s="44">
        <f t="shared" si="19"/>
        <v>0</v>
      </c>
      <c r="AO13" s="44"/>
      <c r="AP13" s="44">
        <f t="shared" si="20"/>
        <v>0</v>
      </c>
      <c r="AQ13" s="44">
        <f t="shared" si="21"/>
        <v>0</v>
      </c>
      <c r="AR13" s="44"/>
      <c r="AS13" s="44">
        <f t="shared" si="22"/>
        <v>0</v>
      </c>
      <c r="AT13" s="44">
        <f t="shared" si="23"/>
        <v>0</v>
      </c>
      <c r="AU13" s="44"/>
      <c r="AV13" s="44">
        <f t="shared" si="24"/>
        <v>0</v>
      </c>
      <c r="AW13" s="44">
        <f t="shared" si="25"/>
        <v>0</v>
      </c>
      <c r="AX13" s="44"/>
      <c r="AY13" s="44">
        <f t="shared" si="26"/>
        <v>0</v>
      </c>
      <c r="AZ13" s="44">
        <f t="shared" si="27"/>
        <v>0</v>
      </c>
      <c r="BA13" s="44"/>
      <c r="BB13" s="44">
        <f t="shared" si="28"/>
        <v>0</v>
      </c>
      <c r="BC13" s="44">
        <f t="shared" si="29"/>
        <v>0</v>
      </c>
      <c r="BD13" s="44"/>
      <c r="BE13" s="44">
        <f t="shared" si="3"/>
        <v>0</v>
      </c>
      <c r="BF13" s="44">
        <f t="shared" si="4"/>
        <v>0</v>
      </c>
      <c r="BG13" s="44"/>
      <c r="BH13" s="44">
        <f t="shared" si="30"/>
        <v>0</v>
      </c>
      <c r="BI13" s="44">
        <f t="shared" si="31"/>
        <v>0</v>
      </c>
    </row>
    <row r="14" spans="1:61" s="43" customFormat="1" ht="38.25" x14ac:dyDescent="0.25">
      <c r="B14" s="88">
        <v>6</v>
      </c>
      <c r="C14" s="57" t="s">
        <v>756</v>
      </c>
      <c r="D14" s="88" t="s">
        <v>729</v>
      </c>
      <c r="E14" s="208">
        <f>(35198/13100)*4300</f>
        <v>11553.541984732825</v>
      </c>
      <c r="F14" s="216">
        <f>'Labour cost Escalation Factor'!$J$10</f>
        <v>0.27984207704983549</v>
      </c>
      <c r="G14" s="115">
        <f t="shared" ref="G14:G40" si="33">E14*(1+F14)</f>
        <v>14786.709171022938</v>
      </c>
      <c r="H14" s="115">
        <f t="shared" si="32"/>
        <v>14786.709171022938</v>
      </c>
      <c r="I14" s="231" t="s">
        <v>799</v>
      </c>
      <c r="J14" s="230"/>
      <c r="K14" s="230"/>
      <c r="L14" s="230"/>
      <c r="M14" s="172"/>
      <c r="N14" s="44"/>
      <c r="O14" s="44">
        <f t="shared" si="0"/>
        <v>0</v>
      </c>
      <c r="P14" s="44">
        <f t="shared" si="1"/>
        <v>0</v>
      </c>
      <c r="Q14" s="44"/>
      <c r="R14" s="44">
        <f t="shared" si="5"/>
        <v>0</v>
      </c>
      <c r="S14" s="44">
        <f t="shared" si="6"/>
        <v>0</v>
      </c>
      <c r="T14" s="44"/>
      <c r="U14" s="44">
        <f t="shared" si="7"/>
        <v>0</v>
      </c>
      <c r="V14" s="44">
        <f t="shared" si="8"/>
        <v>0</v>
      </c>
      <c r="W14" s="44"/>
      <c r="X14" s="44">
        <f t="shared" si="9"/>
        <v>0</v>
      </c>
      <c r="Y14" s="44">
        <f t="shared" si="10"/>
        <v>0</v>
      </c>
      <c r="Z14" s="44"/>
      <c r="AA14" s="44">
        <f t="shared" si="2"/>
        <v>0</v>
      </c>
      <c r="AB14" s="44">
        <f t="shared" si="11"/>
        <v>0</v>
      </c>
      <c r="AC14" s="44"/>
      <c r="AD14" s="44">
        <f t="shared" si="12"/>
        <v>0</v>
      </c>
      <c r="AE14" s="44">
        <f t="shared" si="13"/>
        <v>0</v>
      </c>
      <c r="AF14" s="44"/>
      <c r="AG14" s="44">
        <f t="shared" si="14"/>
        <v>0</v>
      </c>
      <c r="AH14" s="44">
        <f t="shared" si="15"/>
        <v>0</v>
      </c>
      <c r="AI14" s="44"/>
      <c r="AJ14" s="44">
        <f t="shared" si="16"/>
        <v>0</v>
      </c>
      <c r="AK14" s="44">
        <f t="shared" si="17"/>
        <v>0</v>
      </c>
      <c r="AL14" s="44"/>
      <c r="AM14" s="44">
        <f t="shared" si="18"/>
        <v>0</v>
      </c>
      <c r="AN14" s="44">
        <f t="shared" si="19"/>
        <v>0</v>
      </c>
      <c r="AO14" s="44"/>
      <c r="AP14" s="44">
        <f t="shared" si="20"/>
        <v>0</v>
      </c>
      <c r="AQ14" s="44">
        <f t="shared" si="21"/>
        <v>0</v>
      </c>
      <c r="AR14" s="44"/>
      <c r="AS14" s="44">
        <f t="shared" si="22"/>
        <v>0</v>
      </c>
      <c r="AT14" s="44">
        <f t="shared" si="23"/>
        <v>0</v>
      </c>
      <c r="AU14" s="44"/>
      <c r="AV14" s="44">
        <f t="shared" si="24"/>
        <v>0</v>
      </c>
      <c r="AW14" s="44">
        <f t="shared" si="25"/>
        <v>0</v>
      </c>
      <c r="AX14" s="44"/>
      <c r="AY14" s="44">
        <f t="shared" si="26"/>
        <v>0</v>
      </c>
      <c r="AZ14" s="44">
        <f t="shared" si="27"/>
        <v>0</v>
      </c>
      <c r="BA14" s="44"/>
      <c r="BB14" s="44">
        <f t="shared" si="28"/>
        <v>0</v>
      </c>
      <c r="BC14" s="44">
        <f t="shared" si="29"/>
        <v>0</v>
      </c>
      <c r="BD14" s="44"/>
      <c r="BE14" s="44">
        <f t="shared" si="3"/>
        <v>0</v>
      </c>
      <c r="BF14" s="44">
        <f t="shared" si="4"/>
        <v>0</v>
      </c>
      <c r="BG14" s="44"/>
      <c r="BH14" s="44">
        <f t="shared" si="30"/>
        <v>0</v>
      </c>
      <c r="BI14" s="44">
        <f t="shared" si="31"/>
        <v>0</v>
      </c>
    </row>
    <row r="15" spans="1:61" s="43" customFormat="1" ht="25.5" x14ac:dyDescent="0.25">
      <c r="B15" s="88">
        <v>7</v>
      </c>
      <c r="C15" s="155" t="s">
        <v>730</v>
      </c>
      <c r="D15" s="88" t="s">
        <v>729</v>
      </c>
      <c r="E15" s="208">
        <v>35198</v>
      </c>
      <c r="F15" s="216">
        <f>'Labour cost Escalation Factor'!$J$10</f>
        <v>0.27984207704983549</v>
      </c>
      <c r="G15" s="115">
        <f t="shared" si="33"/>
        <v>45047.88142800011</v>
      </c>
      <c r="H15" s="115">
        <f t="shared" ref="H15:H40" si="34">G15</f>
        <v>45047.88142800011</v>
      </c>
      <c r="I15" s="209" t="s">
        <v>763</v>
      </c>
      <c r="J15" s="230"/>
      <c r="K15" s="230"/>
      <c r="L15" s="230"/>
      <c r="M15" s="172"/>
      <c r="N15" s="44"/>
      <c r="O15" s="44">
        <f t="shared" si="0"/>
        <v>0</v>
      </c>
      <c r="P15" s="44">
        <f t="shared" si="1"/>
        <v>0</v>
      </c>
      <c r="Q15" s="44"/>
      <c r="R15" s="44">
        <f t="shared" si="5"/>
        <v>0</v>
      </c>
      <c r="S15" s="44">
        <f t="shared" si="6"/>
        <v>0</v>
      </c>
      <c r="T15" s="44"/>
      <c r="U15" s="44">
        <f t="shared" si="7"/>
        <v>0</v>
      </c>
      <c r="V15" s="44">
        <f t="shared" si="8"/>
        <v>0</v>
      </c>
      <c r="W15" s="44"/>
      <c r="X15" s="44">
        <f t="shared" si="9"/>
        <v>0</v>
      </c>
      <c r="Y15" s="44">
        <f t="shared" si="10"/>
        <v>0</v>
      </c>
      <c r="Z15" s="44"/>
      <c r="AA15" s="44">
        <f t="shared" si="2"/>
        <v>0</v>
      </c>
      <c r="AB15" s="44">
        <f t="shared" si="11"/>
        <v>0</v>
      </c>
      <c r="AC15" s="44"/>
      <c r="AD15" s="44">
        <f t="shared" si="12"/>
        <v>0</v>
      </c>
      <c r="AE15" s="44">
        <f t="shared" si="13"/>
        <v>0</v>
      </c>
      <c r="AF15" s="44"/>
      <c r="AG15" s="44">
        <f t="shared" si="14"/>
        <v>0</v>
      </c>
      <c r="AH15" s="44">
        <f t="shared" si="15"/>
        <v>0</v>
      </c>
      <c r="AI15" s="44"/>
      <c r="AJ15" s="44">
        <f t="shared" si="16"/>
        <v>0</v>
      </c>
      <c r="AK15" s="44">
        <f t="shared" si="17"/>
        <v>0</v>
      </c>
      <c r="AL15" s="44">
        <v>2</v>
      </c>
      <c r="AM15" s="44">
        <f t="shared" si="18"/>
        <v>90095.762856000219</v>
      </c>
      <c r="AN15" s="44">
        <f t="shared" si="19"/>
        <v>90095.762856000219</v>
      </c>
      <c r="AO15" s="44"/>
      <c r="AP15" s="44">
        <f t="shared" si="20"/>
        <v>0</v>
      </c>
      <c r="AQ15" s="44">
        <f t="shared" si="21"/>
        <v>0</v>
      </c>
      <c r="AR15" s="44"/>
      <c r="AS15" s="44">
        <f t="shared" si="22"/>
        <v>0</v>
      </c>
      <c r="AT15" s="44">
        <f t="shared" si="23"/>
        <v>0</v>
      </c>
      <c r="AU15" s="44"/>
      <c r="AV15" s="44">
        <f t="shared" si="24"/>
        <v>0</v>
      </c>
      <c r="AW15" s="44">
        <f t="shared" si="25"/>
        <v>0</v>
      </c>
      <c r="AX15" s="44"/>
      <c r="AY15" s="44">
        <f t="shared" si="26"/>
        <v>0</v>
      </c>
      <c r="AZ15" s="44">
        <f t="shared" si="27"/>
        <v>0</v>
      </c>
      <c r="BA15" s="44"/>
      <c r="BB15" s="44">
        <f t="shared" si="28"/>
        <v>0</v>
      </c>
      <c r="BC15" s="44">
        <f t="shared" si="29"/>
        <v>0</v>
      </c>
      <c r="BD15" s="44">
        <v>1</v>
      </c>
      <c r="BE15" s="44">
        <f t="shared" si="3"/>
        <v>45047.88142800011</v>
      </c>
      <c r="BF15" s="44">
        <f t="shared" si="4"/>
        <v>45047.88142800011</v>
      </c>
      <c r="BG15" s="44"/>
      <c r="BH15" s="44">
        <f t="shared" si="30"/>
        <v>0</v>
      </c>
      <c r="BI15" s="44">
        <f t="shared" si="31"/>
        <v>0</v>
      </c>
    </row>
    <row r="16" spans="1:61" s="43" customFormat="1" ht="25.5" x14ac:dyDescent="0.25">
      <c r="B16" s="88">
        <v>8</v>
      </c>
      <c r="C16" s="82" t="s">
        <v>731</v>
      </c>
      <c r="D16" s="88" t="s">
        <v>729</v>
      </c>
      <c r="E16" s="208">
        <v>35198</v>
      </c>
      <c r="F16" s="216">
        <f>'Labour cost Escalation Factor'!$J$10</f>
        <v>0.27984207704983549</v>
      </c>
      <c r="G16" s="115">
        <f t="shared" si="33"/>
        <v>45047.88142800011</v>
      </c>
      <c r="H16" s="115">
        <f t="shared" si="34"/>
        <v>45047.88142800011</v>
      </c>
      <c r="I16" s="209" t="s">
        <v>763</v>
      </c>
      <c r="J16" s="230"/>
      <c r="K16" s="230"/>
      <c r="L16" s="230"/>
      <c r="M16" s="172"/>
      <c r="N16" s="44">
        <v>1</v>
      </c>
      <c r="O16" s="44">
        <f t="shared" si="0"/>
        <v>45047.88142800011</v>
      </c>
      <c r="P16" s="44">
        <f t="shared" si="1"/>
        <v>45047.88142800011</v>
      </c>
      <c r="Q16" s="44"/>
      <c r="R16" s="44">
        <f t="shared" si="5"/>
        <v>0</v>
      </c>
      <c r="S16" s="44">
        <f t="shared" si="6"/>
        <v>0</v>
      </c>
      <c r="T16" s="44"/>
      <c r="U16" s="44">
        <f t="shared" si="7"/>
        <v>0</v>
      </c>
      <c r="V16" s="44">
        <f t="shared" si="8"/>
        <v>0</v>
      </c>
      <c r="W16" s="44"/>
      <c r="X16" s="44">
        <f t="shared" si="9"/>
        <v>0</v>
      </c>
      <c r="Y16" s="44">
        <f t="shared" si="10"/>
        <v>0</v>
      </c>
      <c r="Z16" s="44">
        <v>2</v>
      </c>
      <c r="AA16" s="44">
        <f t="shared" si="2"/>
        <v>90095.762856000219</v>
      </c>
      <c r="AB16" s="44">
        <f t="shared" si="11"/>
        <v>90095.762856000219</v>
      </c>
      <c r="AC16" s="44"/>
      <c r="AD16" s="44">
        <f t="shared" si="12"/>
        <v>0</v>
      </c>
      <c r="AE16" s="44">
        <f t="shared" si="13"/>
        <v>0</v>
      </c>
      <c r="AF16" s="44"/>
      <c r="AG16" s="44">
        <f t="shared" si="14"/>
        <v>0</v>
      </c>
      <c r="AH16" s="44">
        <f t="shared" si="15"/>
        <v>0</v>
      </c>
      <c r="AI16" s="44"/>
      <c r="AJ16" s="44">
        <f t="shared" si="16"/>
        <v>0</v>
      </c>
      <c r="AK16" s="44">
        <f t="shared" si="17"/>
        <v>0</v>
      </c>
      <c r="AL16" s="44"/>
      <c r="AM16" s="44">
        <f t="shared" si="18"/>
        <v>0</v>
      </c>
      <c r="AN16" s="44">
        <f t="shared" si="19"/>
        <v>0</v>
      </c>
      <c r="AO16" s="44">
        <v>2</v>
      </c>
      <c r="AP16" s="44">
        <f t="shared" si="20"/>
        <v>90095.762856000219</v>
      </c>
      <c r="AQ16" s="44">
        <f t="shared" si="21"/>
        <v>90095.762856000219</v>
      </c>
      <c r="AR16" s="44"/>
      <c r="AS16" s="44">
        <f t="shared" si="22"/>
        <v>0</v>
      </c>
      <c r="AT16" s="44">
        <f t="shared" si="23"/>
        <v>0</v>
      </c>
      <c r="AU16" s="44"/>
      <c r="AV16" s="44">
        <f t="shared" si="24"/>
        <v>0</v>
      </c>
      <c r="AW16" s="44">
        <f t="shared" si="25"/>
        <v>0</v>
      </c>
      <c r="AX16" s="44"/>
      <c r="AY16" s="44">
        <f t="shared" si="26"/>
        <v>0</v>
      </c>
      <c r="AZ16" s="44">
        <f t="shared" si="27"/>
        <v>0</v>
      </c>
      <c r="BA16" s="44"/>
      <c r="BB16" s="44">
        <f t="shared" si="28"/>
        <v>0</v>
      </c>
      <c r="BC16" s="44">
        <f t="shared" si="29"/>
        <v>0</v>
      </c>
      <c r="BD16" s="44"/>
      <c r="BE16" s="44">
        <f t="shared" si="3"/>
        <v>0</v>
      </c>
      <c r="BF16" s="44">
        <f t="shared" si="4"/>
        <v>0</v>
      </c>
      <c r="BG16" s="44"/>
      <c r="BH16" s="44">
        <f t="shared" si="30"/>
        <v>0</v>
      </c>
      <c r="BI16" s="44">
        <f t="shared" si="31"/>
        <v>0</v>
      </c>
    </row>
    <row r="17" spans="2:61" s="43" customFormat="1" ht="25.5" x14ac:dyDescent="0.25">
      <c r="B17" s="88">
        <v>9</v>
      </c>
      <c r="C17" s="82" t="s">
        <v>732</v>
      </c>
      <c r="D17" s="88" t="s">
        <v>729</v>
      </c>
      <c r="E17" s="208">
        <v>33439</v>
      </c>
      <c r="F17" s="216">
        <f>'Labour cost Escalation Factor'!$J$10</f>
        <v>0.27984207704983549</v>
      </c>
      <c r="G17" s="115">
        <f t="shared" si="33"/>
        <v>42796.639214469447</v>
      </c>
      <c r="H17" s="115">
        <f t="shared" si="34"/>
        <v>42796.639214469447</v>
      </c>
      <c r="I17" s="209" t="s">
        <v>763</v>
      </c>
      <c r="J17" s="230"/>
      <c r="K17" s="230"/>
      <c r="L17" s="230"/>
      <c r="M17" s="172"/>
      <c r="N17" s="44"/>
      <c r="O17" s="44">
        <f t="shared" si="0"/>
        <v>0</v>
      </c>
      <c r="P17" s="44">
        <f t="shared" si="1"/>
        <v>0</v>
      </c>
      <c r="Q17" s="44">
        <v>1</v>
      </c>
      <c r="R17" s="44">
        <f t="shared" si="5"/>
        <v>42796.639214469447</v>
      </c>
      <c r="S17" s="44">
        <f t="shared" si="6"/>
        <v>42796.639214469447</v>
      </c>
      <c r="T17" s="44"/>
      <c r="U17" s="44">
        <f t="shared" si="7"/>
        <v>0</v>
      </c>
      <c r="V17" s="44">
        <f t="shared" si="8"/>
        <v>0</v>
      </c>
      <c r="W17" s="44"/>
      <c r="X17" s="44">
        <f t="shared" si="9"/>
        <v>0</v>
      </c>
      <c r="Y17" s="44">
        <f t="shared" si="10"/>
        <v>0</v>
      </c>
      <c r="Z17" s="44"/>
      <c r="AA17" s="44">
        <f t="shared" si="2"/>
        <v>0</v>
      </c>
      <c r="AB17" s="44">
        <f t="shared" si="11"/>
        <v>0</v>
      </c>
      <c r="AC17" s="44">
        <v>2</v>
      </c>
      <c r="AD17" s="44">
        <f t="shared" si="12"/>
        <v>85593.278428938895</v>
      </c>
      <c r="AE17" s="44">
        <f t="shared" si="13"/>
        <v>85593.278428938895</v>
      </c>
      <c r="AF17" s="44"/>
      <c r="AG17" s="44">
        <f t="shared" si="14"/>
        <v>0</v>
      </c>
      <c r="AH17" s="44">
        <f t="shared" si="15"/>
        <v>0</v>
      </c>
      <c r="AI17" s="44"/>
      <c r="AJ17" s="44">
        <f t="shared" si="16"/>
        <v>0</v>
      </c>
      <c r="AK17" s="44">
        <f t="shared" si="17"/>
        <v>0</v>
      </c>
      <c r="AL17" s="44"/>
      <c r="AM17" s="44">
        <f t="shared" si="18"/>
        <v>0</v>
      </c>
      <c r="AN17" s="44">
        <f t="shared" si="19"/>
        <v>0</v>
      </c>
      <c r="AO17" s="44"/>
      <c r="AP17" s="44">
        <f t="shared" si="20"/>
        <v>0</v>
      </c>
      <c r="AQ17" s="44">
        <f t="shared" si="21"/>
        <v>0</v>
      </c>
      <c r="AR17" s="44">
        <v>2</v>
      </c>
      <c r="AS17" s="44">
        <f t="shared" si="22"/>
        <v>85593.278428938895</v>
      </c>
      <c r="AT17" s="44">
        <f t="shared" si="23"/>
        <v>85593.278428938895</v>
      </c>
      <c r="AU17" s="44"/>
      <c r="AV17" s="44">
        <f t="shared" si="24"/>
        <v>0</v>
      </c>
      <c r="AW17" s="44">
        <f t="shared" si="25"/>
        <v>0</v>
      </c>
      <c r="AX17" s="44"/>
      <c r="AY17" s="44">
        <f t="shared" si="26"/>
        <v>0</v>
      </c>
      <c r="AZ17" s="44">
        <f t="shared" si="27"/>
        <v>0</v>
      </c>
      <c r="BA17" s="44"/>
      <c r="BB17" s="44">
        <f t="shared" si="28"/>
        <v>0</v>
      </c>
      <c r="BC17" s="44">
        <f t="shared" si="29"/>
        <v>0</v>
      </c>
      <c r="BD17" s="44"/>
      <c r="BE17" s="44">
        <f t="shared" si="3"/>
        <v>0</v>
      </c>
      <c r="BF17" s="44">
        <f t="shared" si="4"/>
        <v>0</v>
      </c>
      <c r="BG17" s="44"/>
      <c r="BH17" s="44">
        <f t="shared" si="30"/>
        <v>0</v>
      </c>
      <c r="BI17" s="44">
        <f t="shared" si="31"/>
        <v>0</v>
      </c>
    </row>
    <row r="18" spans="2:61" s="43" customFormat="1" ht="38.25" x14ac:dyDescent="0.25">
      <c r="B18" s="88">
        <v>10</v>
      </c>
      <c r="C18" s="82" t="s">
        <v>733</v>
      </c>
      <c r="D18" s="88" t="s">
        <v>729</v>
      </c>
      <c r="E18" s="208">
        <f>(33439/9250)*8400</f>
        <v>30366.227027027024</v>
      </c>
      <c r="F18" s="216">
        <f>'Labour cost Escalation Factor'!$J$10</f>
        <v>0.27984207704983549</v>
      </c>
      <c r="G18" s="115">
        <f t="shared" si="33"/>
        <v>38863.975070437118</v>
      </c>
      <c r="H18" s="115">
        <f t="shared" si="34"/>
        <v>38863.975070437118</v>
      </c>
      <c r="I18" s="231" t="s">
        <v>800</v>
      </c>
      <c r="J18" s="230"/>
      <c r="K18" s="230"/>
      <c r="L18" s="230"/>
      <c r="M18" s="172"/>
      <c r="N18" s="44"/>
      <c r="O18" s="44">
        <f t="shared" si="0"/>
        <v>0</v>
      </c>
      <c r="P18" s="44">
        <f t="shared" si="1"/>
        <v>0</v>
      </c>
      <c r="Q18" s="44"/>
      <c r="R18" s="44">
        <f t="shared" si="5"/>
        <v>0</v>
      </c>
      <c r="S18" s="44">
        <f t="shared" si="6"/>
        <v>0</v>
      </c>
      <c r="T18" s="44"/>
      <c r="U18" s="44">
        <f t="shared" si="7"/>
        <v>0</v>
      </c>
      <c r="V18" s="44">
        <f t="shared" si="8"/>
        <v>0</v>
      </c>
      <c r="W18" s="44"/>
      <c r="X18" s="44">
        <f t="shared" si="9"/>
        <v>0</v>
      </c>
      <c r="Y18" s="44">
        <f t="shared" si="10"/>
        <v>0</v>
      </c>
      <c r="Z18" s="44"/>
      <c r="AA18" s="44">
        <f t="shared" si="2"/>
        <v>0</v>
      </c>
      <c r="AB18" s="44">
        <f t="shared" si="11"/>
        <v>0</v>
      </c>
      <c r="AC18" s="44"/>
      <c r="AD18" s="44">
        <f t="shared" si="12"/>
        <v>0</v>
      </c>
      <c r="AE18" s="44">
        <f t="shared" si="13"/>
        <v>0</v>
      </c>
      <c r="AF18" s="44"/>
      <c r="AG18" s="44">
        <f t="shared" si="14"/>
        <v>0</v>
      </c>
      <c r="AH18" s="44">
        <f t="shared" si="15"/>
        <v>0</v>
      </c>
      <c r="AI18" s="44"/>
      <c r="AJ18" s="44">
        <f t="shared" si="16"/>
        <v>0</v>
      </c>
      <c r="AK18" s="44">
        <f t="shared" si="17"/>
        <v>0</v>
      </c>
      <c r="AL18" s="44"/>
      <c r="AM18" s="44">
        <f t="shared" si="18"/>
        <v>0</v>
      </c>
      <c r="AN18" s="44">
        <f t="shared" si="19"/>
        <v>0</v>
      </c>
      <c r="AO18" s="44"/>
      <c r="AP18" s="44">
        <f t="shared" si="20"/>
        <v>0</v>
      </c>
      <c r="AQ18" s="44">
        <f t="shared" si="21"/>
        <v>0</v>
      </c>
      <c r="AR18" s="44"/>
      <c r="AS18" s="44">
        <f t="shared" si="22"/>
        <v>0</v>
      </c>
      <c r="AT18" s="44">
        <f t="shared" si="23"/>
        <v>0</v>
      </c>
      <c r="AU18" s="44"/>
      <c r="AV18" s="44">
        <f t="shared" si="24"/>
        <v>0</v>
      </c>
      <c r="AW18" s="44">
        <f t="shared" si="25"/>
        <v>0</v>
      </c>
      <c r="AX18" s="44"/>
      <c r="AY18" s="44">
        <f t="shared" si="26"/>
        <v>0</v>
      </c>
      <c r="AZ18" s="44">
        <f t="shared" si="27"/>
        <v>0</v>
      </c>
      <c r="BA18" s="44"/>
      <c r="BB18" s="44">
        <f t="shared" si="28"/>
        <v>0</v>
      </c>
      <c r="BC18" s="44">
        <f t="shared" si="29"/>
        <v>0</v>
      </c>
      <c r="BD18" s="44"/>
      <c r="BE18" s="44">
        <f t="shared" si="3"/>
        <v>0</v>
      </c>
      <c r="BF18" s="44">
        <f t="shared" si="4"/>
        <v>0</v>
      </c>
      <c r="BG18" s="44"/>
      <c r="BH18" s="44">
        <f t="shared" si="30"/>
        <v>0</v>
      </c>
      <c r="BI18" s="44">
        <f t="shared" si="31"/>
        <v>0</v>
      </c>
    </row>
    <row r="19" spans="2:61" s="43" customFormat="1" ht="38.25" x14ac:dyDescent="0.25">
      <c r="B19" s="88">
        <v>11</v>
      </c>
      <c r="C19" s="82" t="s">
        <v>734</v>
      </c>
      <c r="D19" s="88" t="s">
        <v>729</v>
      </c>
      <c r="E19" s="208">
        <f>(33439/9250)*7750</f>
        <v>28016.459459459456</v>
      </c>
      <c r="F19" s="216">
        <f>'Labour cost Escalation Factor'!$J$10</f>
        <v>0.27984207704983549</v>
      </c>
      <c r="G19" s="115">
        <f t="shared" si="33"/>
        <v>35856.6436661771</v>
      </c>
      <c r="H19" s="115">
        <f t="shared" si="34"/>
        <v>35856.6436661771</v>
      </c>
      <c r="I19" s="231" t="s">
        <v>800</v>
      </c>
      <c r="J19" s="230"/>
      <c r="K19" s="230"/>
      <c r="L19" s="230"/>
      <c r="M19" s="172"/>
      <c r="N19" s="44"/>
      <c r="O19" s="44">
        <f t="shared" si="0"/>
        <v>0</v>
      </c>
      <c r="P19" s="44">
        <f t="shared" si="1"/>
        <v>0</v>
      </c>
      <c r="Q19" s="44"/>
      <c r="R19" s="44">
        <f t="shared" si="5"/>
        <v>0</v>
      </c>
      <c r="S19" s="44">
        <f t="shared" si="6"/>
        <v>0</v>
      </c>
      <c r="T19" s="44"/>
      <c r="U19" s="44">
        <f t="shared" si="7"/>
        <v>0</v>
      </c>
      <c r="V19" s="44">
        <f t="shared" si="8"/>
        <v>0</v>
      </c>
      <c r="W19" s="44"/>
      <c r="X19" s="44">
        <f t="shared" si="9"/>
        <v>0</v>
      </c>
      <c r="Y19" s="44">
        <f t="shared" si="10"/>
        <v>0</v>
      </c>
      <c r="Z19" s="44"/>
      <c r="AA19" s="44">
        <f t="shared" si="2"/>
        <v>0</v>
      </c>
      <c r="AB19" s="44">
        <f t="shared" si="11"/>
        <v>0</v>
      </c>
      <c r="AC19" s="44"/>
      <c r="AD19" s="44">
        <f t="shared" si="12"/>
        <v>0</v>
      </c>
      <c r="AE19" s="44">
        <f t="shared" si="13"/>
        <v>0</v>
      </c>
      <c r="AF19" s="44"/>
      <c r="AG19" s="44">
        <f t="shared" si="14"/>
        <v>0</v>
      </c>
      <c r="AH19" s="44">
        <f t="shared" si="15"/>
        <v>0</v>
      </c>
      <c r="AI19" s="44"/>
      <c r="AJ19" s="44">
        <f t="shared" si="16"/>
        <v>0</v>
      </c>
      <c r="AK19" s="44">
        <f t="shared" si="17"/>
        <v>0</v>
      </c>
      <c r="AL19" s="44"/>
      <c r="AM19" s="44">
        <f t="shared" si="18"/>
        <v>0</v>
      </c>
      <c r="AN19" s="44">
        <f t="shared" si="19"/>
        <v>0</v>
      </c>
      <c r="AO19" s="44"/>
      <c r="AP19" s="44">
        <f t="shared" si="20"/>
        <v>0</v>
      </c>
      <c r="AQ19" s="44">
        <f t="shared" si="21"/>
        <v>0</v>
      </c>
      <c r="AR19" s="44"/>
      <c r="AS19" s="44">
        <f t="shared" si="22"/>
        <v>0</v>
      </c>
      <c r="AT19" s="44">
        <f t="shared" si="23"/>
        <v>0</v>
      </c>
      <c r="AU19" s="44"/>
      <c r="AV19" s="44">
        <f t="shared" si="24"/>
        <v>0</v>
      </c>
      <c r="AW19" s="44">
        <f t="shared" si="25"/>
        <v>0</v>
      </c>
      <c r="AX19" s="44"/>
      <c r="AY19" s="44">
        <f t="shared" si="26"/>
        <v>0</v>
      </c>
      <c r="AZ19" s="44">
        <f t="shared" si="27"/>
        <v>0</v>
      </c>
      <c r="BA19" s="44"/>
      <c r="BB19" s="44">
        <f t="shared" si="28"/>
        <v>0</v>
      </c>
      <c r="BC19" s="44">
        <f t="shared" si="29"/>
        <v>0</v>
      </c>
      <c r="BD19" s="44"/>
      <c r="BE19" s="44">
        <f t="shared" si="3"/>
        <v>0</v>
      </c>
      <c r="BF19" s="44">
        <f t="shared" si="4"/>
        <v>0</v>
      </c>
      <c r="BG19" s="44"/>
      <c r="BH19" s="44">
        <f t="shared" si="30"/>
        <v>0</v>
      </c>
      <c r="BI19" s="44">
        <f t="shared" si="31"/>
        <v>0</v>
      </c>
    </row>
    <row r="20" spans="2:61" s="43" customFormat="1" ht="38.25" x14ac:dyDescent="0.25">
      <c r="B20" s="88">
        <v>12</v>
      </c>
      <c r="C20" s="82" t="s">
        <v>735</v>
      </c>
      <c r="D20" s="88" t="s">
        <v>729</v>
      </c>
      <c r="E20" s="208">
        <f>(33439/9250)*7100</f>
        <v>25666.691891891889</v>
      </c>
      <c r="F20" s="216">
        <f>'Labour cost Escalation Factor'!$J$10</f>
        <v>0.27984207704983549</v>
      </c>
      <c r="G20" s="115">
        <f t="shared" si="33"/>
        <v>32849.31226191709</v>
      </c>
      <c r="H20" s="115">
        <f t="shared" si="34"/>
        <v>32849.31226191709</v>
      </c>
      <c r="I20" s="231" t="s">
        <v>800</v>
      </c>
      <c r="J20" s="230"/>
      <c r="K20" s="230"/>
      <c r="L20" s="230"/>
      <c r="M20" s="172"/>
      <c r="N20" s="44"/>
      <c r="O20" s="44">
        <f t="shared" si="0"/>
        <v>0</v>
      </c>
      <c r="P20" s="44">
        <f t="shared" si="1"/>
        <v>0</v>
      </c>
      <c r="Q20" s="44"/>
      <c r="R20" s="44">
        <f t="shared" si="5"/>
        <v>0</v>
      </c>
      <c r="S20" s="44">
        <f t="shared" si="6"/>
        <v>0</v>
      </c>
      <c r="T20" s="44"/>
      <c r="U20" s="44">
        <f t="shared" si="7"/>
        <v>0</v>
      </c>
      <c r="V20" s="44">
        <f t="shared" si="8"/>
        <v>0</v>
      </c>
      <c r="W20" s="44"/>
      <c r="X20" s="44">
        <f t="shared" si="9"/>
        <v>0</v>
      </c>
      <c r="Y20" s="44">
        <f t="shared" si="10"/>
        <v>0</v>
      </c>
      <c r="Z20" s="44"/>
      <c r="AA20" s="44">
        <f t="shared" si="2"/>
        <v>0</v>
      </c>
      <c r="AB20" s="44">
        <f t="shared" si="11"/>
        <v>0</v>
      </c>
      <c r="AC20" s="44"/>
      <c r="AD20" s="44">
        <f t="shared" si="12"/>
        <v>0</v>
      </c>
      <c r="AE20" s="44">
        <f t="shared" si="13"/>
        <v>0</v>
      </c>
      <c r="AF20" s="44"/>
      <c r="AG20" s="44">
        <f t="shared" si="14"/>
        <v>0</v>
      </c>
      <c r="AH20" s="44">
        <f t="shared" si="15"/>
        <v>0</v>
      </c>
      <c r="AI20" s="44"/>
      <c r="AJ20" s="44">
        <f t="shared" si="16"/>
        <v>0</v>
      </c>
      <c r="AK20" s="44">
        <f t="shared" si="17"/>
        <v>0</v>
      </c>
      <c r="AL20" s="44"/>
      <c r="AM20" s="44">
        <f t="shared" si="18"/>
        <v>0</v>
      </c>
      <c r="AN20" s="44">
        <f t="shared" si="19"/>
        <v>0</v>
      </c>
      <c r="AO20" s="44"/>
      <c r="AP20" s="44">
        <f t="shared" si="20"/>
        <v>0</v>
      </c>
      <c r="AQ20" s="44">
        <f t="shared" si="21"/>
        <v>0</v>
      </c>
      <c r="AR20" s="44"/>
      <c r="AS20" s="44">
        <f t="shared" si="22"/>
        <v>0</v>
      </c>
      <c r="AT20" s="44">
        <f t="shared" si="23"/>
        <v>0</v>
      </c>
      <c r="AU20" s="44"/>
      <c r="AV20" s="44">
        <f t="shared" si="24"/>
        <v>0</v>
      </c>
      <c r="AW20" s="44">
        <f t="shared" si="25"/>
        <v>0</v>
      </c>
      <c r="AX20" s="44"/>
      <c r="AY20" s="44">
        <f t="shared" si="26"/>
        <v>0</v>
      </c>
      <c r="AZ20" s="44">
        <f t="shared" si="27"/>
        <v>0</v>
      </c>
      <c r="BA20" s="44"/>
      <c r="BB20" s="44">
        <f t="shared" si="28"/>
        <v>0</v>
      </c>
      <c r="BC20" s="44">
        <f t="shared" si="29"/>
        <v>0</v>
      </c>
      <c r="BD20" s="44"/>
      <c r="BE20" s="44">
        <f t="shared" si="3"/>
        <v>0</v>
      </c>
      <c r="BF20" s="44">
        <f t="shared" si="4"/>
        <v>0</v>
      </c>
      <c r="BG20" s="44"/>
      <c r="BH20" s="44">
        <f t="shared" si="30"/>
        <v>0</v>
      </c>
      <c r="BI20" s="44">
        <f t="shared" si="31"/>
        <v>0</v>
      </c>
    </row>
    <row r="21" spans="2:61" s="43" customFormat="1" ht="38.25" x14ac:dyDescent="0.25">
      <c r="B21" s="88">
        <v>13</v>
      </c>
      <c r="C21" s="85" t="s">
        <v>736</v>
      </c>
      <c r="D21" s="88" t="s">
        <v>729</v>
      </c>
      <c r="E21" s="208">
        <f>(33439/9250)*3200</f>
        <v>11568.086486486485</v>
      </c>
      <c r="F21" s="216">
        <f>'Labour cost Escalation Factor'!$J$10</f>
        <v>0.27984207704983549</v>
      </c>
      <c r="G21" s="115">
        <f t="shared" si="33"/>
        <v>14805.323836356998</v>
      </c>
      <c r="H21" s="115">
        <f t="shared" si="34"/>
        <v>14805.323836356998</v>
      </c>
      <c r="I21" s="231" t="s">
        <v>800</v>
      </c>
      <c r="J21" s="230"/>
      <c r="K21" s="230"/>
      <c r="L21" s="230"/>
      <c r="M21" s="172"/>
      <c r="N21" s="44"/>
      <c r="O21" s="44">
        <f t="shared" si="0"/>
        <v>0</v>
      </c>
      <c r="P21" s="44">
        <f t="shared" si="1"/>
        <v>0</v>
      </c>
      <c r="Q21" s="44"/>
      <c r="R21" s="44">
        <f t="shared" si="5"/>
        <v>0</v>
      </c>
      <c r="S21" s="44">
        <f t="shared" si="6"/>
        <v>0</v>
      </c>
      <c r="T21" s="44"/>
      <c r="U21" s="44">
        <f t="shared" si="7"/>
        <v>0</v>
      </c>
      <c r="V21" s="44">
        <f t="shared" si="8"/>
        <v>0</v>
      </c>
      <c r="W21" s="44"/>
      <c r="X21" s="44">
        <f t="shared" si="9"/>
        <v>0</v>
      </c>
      <c r="Y21" s="44">
        <f t="shared" si="10"/>
        <v>0</v>
      </c>
      <c r="Z21" s="44"/>
      <c r="AA21" s="44">
        <f t="shared" si="2"/>
        <v>0</v>
      </c>
      <c r="AB21" s="44">
        <f t="shared" si="11"/>
        <v>0</v>
      </c>
      <c r="AC21" s="44"/>
      <c r="AD21" s="44">
        <f t="shared" si="12"/>
        <v>0</v>
      </c>
      <c r="AE21" s="44">
        <f t="shared" si="13"/>
        <v>0</v>
      </c>
      <c r="AF21" s="44"/>
      <c r="AG21" s="44">
        <f t="shared" si="14"/>
        <v>0</v>
      </c>
      <c r="AH21" s="44">
        <f t="shared" si="15"/>
        <v>0</v>
      </c>
      <c r="AI21" s="44"/>
      <c r="AJ21" s="44">
        <f t="shared" si="16"/>
        <v>0</v>
      </c>
      <c r="AK21" s="44">
        <f t="shared" si="17"/>
        <v>0</v>
      </c>
      <c r="AL21" s="44"/>
      <c r="AM21" s="44">
        <f t="shared" si="18"/>
        <v>0</v>
      </c>
      <c r="AN21" s="44">
        <f t="shared" si="19"/>
        <v>0</v>
      </c>
      <c r="AO21" s="44"/>
      <c r="AP21" s="44">
        <f t="shared" si="20"/>
        <v>0</v>
      </c>
      <c r="AQ21" s="44">
        <f t="shared" si="21"/>
        <v>0</v>
      </c>
      <c r="AR21" s="44"/>
      <c r="AS21" s="44">
        <f t="shared" si="22"/>
        <v>0</v>
      </c>
      <c r="AT21" s="44">
        <f t="shared" si="23"/>
        <v>0</v>
      </c>
      <c r="AU21" s="44"/>
      <c r="AV21" s="44">
        <f t="shared" si="24"/>
        <v>0</v>
      </c>
      <c r="AW21" s="44">
        <f t="shared" si="25"/>
        <v>0</v>
      </c>
      <c r="AX21" s="44"/>
      <c r="AY21" s="44">
        <f t="shared" si="26"/>
        <v>0</v>
      </c>
      <c r="AZ21" s="44">
        <f t="shared" si="27"/>
        <v>0</v>
      </c>
      <c r="BA21" s="44"/>
      <c r="BB21" s="44">
        <f t="shared" si="28"/>
        <v>0</v>
      </c>
      <c r="BC21" s="44">
        <f t="shared" si="29"/>
        <v>0</v>
      </c>
      <c r="BD21" s="44"/>
      <c r="BE21" s="44">
        <f t="shared" si="3"/>
        <v>0</v>
      </c>
      <c r="BF21" s="44">
        <f t="shared" si="4"/>
        <v>0</v>
      </c>
      <c r="BG21" s="44"/>
      <c r="BH21" s="44">
        <f t="shared" si="30"/>
        <v>0</v>
      </c>
      <c r="BI21" s="44">
        <f t="shared" si="31"/>
        <v>0</v>
      </c>
    </row>
    <row r="22" spans="2:61" s="43" customFormat="1" ht="38.25" x14ac:dyDescent="0.25">
      <c r="B22" s="88">
        <v>14</v>
      </c>
      <c r="C22" s="85" t="s">
        <v>737</v>
      </c>
      <c r="D22" s="88" t="s">
        <v>729</v>
      </c>
      <c r="E22" s="208">
        <f>(33439/9250)*9100</f>
        <v>32896.745945945942</v>
      </c>
      <c r="F22" s="216">
        <f>'Labour cost Escalation Factor'!$J$10</f>
        <v>0.27984207704983549</v>
      </c>
      <c r="G22" s="115">
        <f t="shared" si="33"/>
        <v>42102.639659640212</v>
      </c>
      <c r="H22" s="115">
        <f t="shared" si="34"/>
        <v>42102.639659640212</v>
      </c>
      <c r="I22" s="231" t="s">
        <v>800</v>
      </c>
      <c r="J22" s="230"/>
      <c r="K22" s="230"/>
      <c r="L22" s="230"/>
      <c r="M22" s="172"/>
      <c r="N22" s="44"/>
      <c r="O22" s="44">
        <f t="shared" si="0"/>
        <v>0</v>
      </c>
      <c r="P22" s="44">
        <f t="shared" si="1"/>
        <v>0</v>
      </c>
      <c r="Q22" s="44"/>
      <c r="R22" s="44">
        <f t="shared" si="5"/>
        <v>0</v>
      </c>
      <c r="S22" s="44">
        <f t="shared" si="6"/>
        <v>0</v>
      </c>
      <c r="T22" s="44"/>
      <c r="U22" s="44">
        <f t="shared" si="7"/>
        <v>0</v>
      </c>
      <c r="V22" s="44">
        <f t="shared" si="8"/>
        <v>0</v>
      </c>
      <c r="W22" s="44"/>
      <c r="X22" s="44">
        <f t="shared" si="9"/>
        <v>0</v>
      </c>
      <c r="Y22" s="44">
        <f t="shared" si="10"/>
        <v>0</v>
      </c>
      <c r="Z22" s="44"/>
      <c r="AA22" s="44">
        <f t="shared" si="2"/>
        <v>0</v>
      </c>
      <c r="AB22" s="44">
        <f t="shared" si="11"/>
        <v>0</v>
      </c>
      <c r="AC22" s="44"/>
      <c r="AD22" s="44">
        <f t="shared" si="12"/>
        <v>0</v>
      </c>
      <c r="AE22" s="44">
        <f t="shared" si="13"/>
        <v>0</v>
      </c>
      <c r="AF22" s="44"/>
      <c r="AG22" s="44">
        <f t="shared" si="14"/>
        <v>0</v>
      </c>
      <c r="AH22" s="44">
        <f t="shared" si="15"/>
        <v>0</v>
      </c>
      <c r="AI22" s="44"/>
      <c r="AJ22" s="44">
        <f t="shared" si="16"/>
        <v>0</v>
      </c>
      <c r="AK22" s="44">
        <f t="shared" si="17"/>
        <v>0</v>
      </c>
      <c r="AL22" s="44"/>
      <c r="AM22" s="44">
        <f t="shared" si="18"/>
        <v>0</v>
      </c>
      <c r="AN22" s="44">
        <f t="shared" si="19"/>
        <v>0</v>
      </c>
      <c r="AO22" s="44"/>
      <c r="AP22" s="44">
        <f t="shared" si="20"/>
        <v>0</v>
      </c>
      <c r="AQ22" s="44">
        <f t="shared" si="21"/>
        <v>0</v>
      </c>
      <c r="AR22" s="44"/>
      <c r="AS22" s="44">
        <f t="shared" si="22"/>
        <v>0</v>
      </c>
      <c r="AT22" s="44">
        <f t="shared" si="23"/>
        <v>0</v>
      </c>
      <c r="AU22" s="44">
        <v>2</v>
      </c>
      <c r="AV22" s="44">
        <f t="shared" si="24"/>
        <v>84205.279319280424</v>
      </c>
      <c r="AW22" s="44">
        <f t="shared" si="25"/>
        <v>84205.279319280424</v>
      </c>
      <c r="AX22" s="44"/>
      <c r="AY22" s="44">
        <f t="shared" si="26"/>
        <v>0</v>
      </c>
      <c r="AZ22" s="44">
        <f t="shared" si="27"/>
        <v>0</v>
      </c>
      <c r="BA22" s="44"/>
      <c r="BB22" s="44">
        <f t="shared" si="28"/>
        <v>0</v>
      </c>
      <c r="BC22" s="44">
        <f t="shared" si="29"/>
        <v>0</v>
      </c>
      <c r="BD22" s="44"/>
      <c r="BE22" s="44">
        <f t="shared" si="3"/>
        <v>0</v>
      </c>
      <c r="BF22" s="44">
        <f t="shared" si="4"/>
        <v>0</v>
      </c>
      <c r="BG22" s="44">
        <v>1</v>
      </c>
      <c r="BH22" s="44">
        <f t="shared" si="30"/>
        <v>42102.639659640212</v>
      </c>
      <c r="BI22" s="44">
        <f t="shared" si="31"/>
        <v>42102.639659640212</v>
      </c>
    </row>
    <row r="23" spans="2:61" s="43" customFormat="1" ht="38.25" x14ac:dyDescent="0.25">
      <c r="B23" s="88">
        <v>15</v>
      </c>
      <c r="C23" s="85" t="s">
        <v>738</v>
      </c>
      <c r="D23" s="88" t="s">
        <v>729</v>
      </c>
      <c r="E23" s="208">
        <f>(33439/9250)*7600</f>
        <v>27474.205405405402</v>
      </c>
      <c r="F23" s="216">
        <f>'Labour cost Escalation Factor'!$J$10</f>
        <v>0.27984207704983549</v>
      </c>
      <c r="G23" s="115">
        <f t="shared" si="33"/>
        <v>35162.644111347872</v>
      </c>
      <c r="H23" s="115">
        <f t="shared" si="34"/>
        <v>35162.644111347872</v>
      </c>
      <c r="I23" s="231" t="s">
        <v>800</v>
      </c>
      <c r="J23" s="230"/>
      <c r="K23" s="230"/>
      <c r="L23" s="230"/>
      <c r="M23" s="172"/>
      <c r="N23" s="44"/>
      <c r="O23" s="44">
        <f t="shared" si="0"/>
        <v>0</v>
      </c>
      <c r="P23" s="44">
        <f t="shared" si="1"/>
        <v>0</v>
      </c>
      <c r="Q23" s="44"/>
      <c r="R23" s="44">
        <f t="shared" si="5"/>
        <v>0</v>
      </c>
      <c r="S23" s="44">
        <f t="shared" si="6"/>
        <v>0</v>
      </c>
      <c r="T23" s="44">
        <v>1</v>
      </c>
      <c r="U23" s="44">
        <f t="shared" si="7"/>
        <v>35162.644111347872</v>
      </c>
      <c r="V23" s="44">
        <f t="shared" si="8"/>
        <v>35162.644111347872</v>
      </c>
      <c r="W23" s="44"/>
      <c r="X23" s="44">
        <f t="shared" si="9"/>
        <v>0</v>
      </c>
      <c r="Y23" s="44">
        <f t="shared" si="10"/>
        <v>0</v>
      </c>
      <c r="Z23" s="44"/>
      <c r="AA23" s="44">
        <f t="shared" si="2"/>
        <v>0</v>
      </c>
      <c r="AB23" s="44">
        <f t="shared" si="11"/>
        <v>0</v>
      </c>
      <c r="AC23" s="44"/>
      <c r="AD23" s="44">
        <f t="shared" si="12"/>
        <v>0</v>
      </c>
      <c r="AE23" s="44">
        <f t="shared" si="13"/>
        <v>0</v>
      </c>
      <c r="AF23" s="44">
        <v>2</v>
      </c>
      <c r="AG23" s="44">
        <f t="shared" si="14"/>
        <v>70325.288222695744</v>
      </c>
      <c r="AH23" s="44">
        <f t="shared" si="15"/>
        <v>70325.288222695744</v>
      </c>
      <c r="AI23" s="44"/>
      <c r="AJ23" s="44">
        <f t="shared" si="16"/>
        <v>0</v>
      </c>
      <c r="AK23" s="44">
        <f t="shared" si="17"/>
        <v>0</v>
      </c>
      <c r="AL23" s="44"/>
      <c r="AM23" s="44">
        <f t="shared" si="18"/>
        <v>0</v>
      </c>
      <c r="AN23" s="44">
        <f t="shared" si="19"/>
        <v>0</v>
      </c>
      <c r="AO23" s="44"/>
      <c r="AP23" s="44">
        <f t="shared" si="20"/>
        <v>0</v>
      </c>
      <c r="AQ23" s="44">
        <f t="shared" si="21"/>
        <v>0</v>
      </c>
      <c r="AR23" s="44"/>
      <c r="AS23" s="44">
        <f t="shared" si="22"/>
        <v>0</v>
      </c>
      <c r="AT23" s="44">
        <f t="shared" si="23"/>
        <v>0</v>
      </c>
      <c r="AU23" s="44"/>
      <c r="AV23" s="44">
        <f t="shared" si="24"/>
        <v>0</v>
      </c>
      <c r="AW23" s="44">
        <f t="shared" si="25"/>
        <v>0</v>
      </c>
      <c r="AX23" s="44">
        <v>2</v>
      </c>
      <c r="AY23" s="44">
        <f t="shared" si="26"/>
        <v>70325.288222695744</v>
      </c>
      <c r="AZ23" s="44">
        <f t="shared" si="27"/>
        <v>70325.288222695744</v>
      </c>
      <c r="BA23" s="44"/>
      <c r="BB23" s="44">
        <f t="shared" si="28"/>
        <v>0</v>
      </c>
      <c r="BC23" s="44">
        <f t="shared" si="29"/>
        <v>0</v>
      </c>
      <c r="BD23" s="44"/>
      <c r="BE23" s="44">
        <f t="shared" si="3"/>
        <v>0</v>
      </c>
      <c r="BF23" s="44">
        <f t="shared" si="4"/>
        <v>0</v>
      </c>
      <c r="BG23" s="44"/>
      <c r="BH23" s="44">
        <f t="shared" si="30"/>
        <v>0</v>
      </c>
      <c r="BI23" s="44">
        <f t="shared" si="31"/>
        <v>0</v>
      </c>
    </row>
    <row r="24" spans="2:61" s="43" customFormat="1" ht="38.25" x14ac:dyDescent="0.25">
      <c r="B24" s="88">
        <v>16</v>
      </c>
      <c r="C24" s="85" t="s">
        <v>739</v>
      </c>
      <c r="D24" s="88" t="s">
        <v>729</v>
      </c>
      <c r="E24" s="208">
        <f>(33439/9250)*6600</f>
        <v>23859.178378378376</v>
      </c>
      <c r="F24" s="216">
        <f>'Labour cost Escalation Factor'!$J$10</f>
        <v>0.27984207704983549</v>
      </c>
      <c r="G24" s="115">
        <f t="shared" si="33"/>
        <v>30535.980412486308</v>
      </c>
      <c r="H24" s="115">
        <f t="shared" si="34"/>
        <v>30535.980412486308</v>
      </c>
      <c r="I24" s="231" t="s">
        <v>800</v>
      </c>
      <c r="J24" s="230"/>
      <c r="K24" s="230"/>
      <c r="L24" s="230"/>
      <c r="M24" s="172"/>
      <c r="N24" s="44"/>
      <c r="O24" s="44">
        <f t="shared" si="0"/>
        <v>0</v>
      </c>
      <c r="P24" s="44">
        <f t="shared" si="1"/>
        <v>0</v>
      </c>
      <c r="Q24" s="44"/>
      <c r="R24" s="44">
        <f t="shared" si="5"/>
        <v>0</v>
      </c>
      <c r="S24" s="44">
        <f t="shared" si="6"/>
        <v>0</v>
      </c>
      <c r="T24" s="44"/>
      <c r="U24" s="44">
        <f t="shared" si="7"/>
        <v>0</v>
      </c>
      <c r="V24" s="44">
        <f t="shared" si="8"/>
        <v>0</v>
      </c>
      <c r="W24" s="44"/>
      <c r="X24" s="44">
        <f t="shared" si="9"/>
        <v>0</v>
      </c>
      <c r="Y24" s="44">
        <f t="shared" si="10"/>
        <v>0</v>
      </c>
      <c r="Z24" s="44"/>
      <c r="AA24" s="44">
        <f t="shared" si="2"/>
        <v>0</v>
      </c>
      <c r="AB24" s="44">
        <f t="shared" si="11"/>
        <v>0</v>
      </c>
      <c r="AC24" s="44"/>
      <c r="AD24" s="44">
        <f t="shared" si="12"/>
        <v>0</v>
      </c>
      <c r="AE24" s="44">
        <f t="shared" si="13"/>
        <v>0</v>
      </c>
      <c r="AF24" s="44"/>
      <c r="AG24" s="44">
        <f t="shared" si="14"/>
        <v>0</v>
      </c>
      <c r="AH24" s="44">
        <f t="shared" si="15"/>
        <v>0</v>
      </c>
      <c r="AI24" s="44"/>
      <c r="AJ24" s="44">
        <f t="shared" si="16"/>
        <v>0</v>
      </c>
      <c r="AK24" s="44">
        <f t="shared" si="17"/>
        <v>0</v>
      </c>
      <c r="AL24" s="44"/>
      <c r="AM24" s="44">
        <f t="shared" si="18"/>
        <v>0</v>
      </c>
      <c r="AN24" s="44">
        <f t="shared" si="19"/>
        <v>0</v>
      </c>
      <c r="AO24" s="44"/>
      <c r="AP24" s="44">
        <f t="shared" si="20"/>
        <v>0</v>
      </c>
      <c r="AQ24" s="44">
        <f t="shared" si="21"/>
        <v>0</v>
      </c>
      <c r="AR24" s="44"/>
      <c r="AS24" s="44">
        <f t="shared" si="22"/>
        <v>0</v>
      </c>
      <c r="AT24" s="44">
        <f t="shared" si="23"/>
        <v>0</v>
      </c>
      <c r="AU24" s="44"/>
      <c r="AV24" s="44">
        <f t="shared" si="24"/>
        <v>0</v>
      </c>
      <c r="AW24" s="44">
        <f t="shared" si="25"/>
        <v>0</v>
      </c>
      <c r="AX24" s="44"/>
      <c r="AY24" s="44">
        <f t="shared" si="26"/>
        <v>0</v>
      </c>
      <c r="AZ24" s="44">
        <f t="shared" si="27"/>
        <v>0</v>
      </c>
      <c r="BA24" s="44"/>
      <c r="BB24" s="44">
        <f t="shared" si="28"/>
        <v>0</v>
      </c>
      <c r="BC24" s="44">
        <f t="shared" si="29"/>
        <v>0</v>
      </c>
      <c r="BD24" s="44"/>
      <c r="BE24" s="44">
        <f t="shared" si="3"/>
        <v>0</v>
      </c>
      <c r="BF24" s="44">
        <f t="shared" si="4"/>
        <v>0</v>
      </c>
      <c r="BG24" s="44"/>
      <c r="BH24" s="44">
        <f t="shared" si="30"/>
        <v>0</v>
      </c>
      <c r="BI24" s="44">
        <f t="shared" si="31"/>
        <v>0</v>
      </c>
    </row>
    <row r="25" spans="2:61" s="43" customFormat="1" ht="38.25" x14ac:dyDescent="0.25">
      <c r="B25" s="88">
        <v>17</v>
      </c>
      <c r="C25" s="85" t="s">
        <v>740</v>
      </c>
      <c r="D25" s="88" t="s">
        <v>729</v>
      </c>
      <c r="E25" s="208">
        <f>(33439/9250)*5650</f>
        <v>20424.9027027027</v>
      </c>
      <c r="F25" s="216">
        <f>'Labour cost Escalation Factor'!$J$10</f>
        <v>0.27984207704983549</v>
      </c>
      <c r="G25" s="115">
        <f t="shared" si="33"/>
        <v>26140.649898567823</v>
      </c>
      <c r="H25" s="115">
        <f t="shared" si="34"/>
        <v>26140.649898567823</v>
      </c>
      <c r="I25" s="231" t="s">
        <v>800</v>
      </c>
      <c r="J25" s="230"/>
      <c r="K25" s="230"/>
      <c r="L25" s="230"/>
      <c r="M25" s="172"/>
      <c r="N25" s="44"/>
      <c r="O25" s="44">
        <f t="shared" si="0"/>
        <v>0</v>
      </c>
      <c r="P25" s="44">
        <f t="shared" si="1"/>
        <v>0</v>
      </c>
      <c r="Q25" s="44"/>
      <c r="R25" s="44">
        <f t="shared" si="5"/>
        <v>0</v>
      </c>
      <c r="S25" s="44">
        <f t="shared" si="6"/>
        <v>0</v>
      </c>
      <c r="T25" s="44"/>
      <c r="U25" s="44">
        <f t="shared" si="7"/>
        <v>0</v>
      </c>
      <c r="V25" s="44">
        <f t="shared" si="8"/>
        <v>0</v>
      </c>
      <c r="W25" s="44">
        <v>1</v>
      </c>
      <c r="X25" s="44">
        <f t="shared" si="9"/>
        <v>26140.649898567823</v>
      </c>
      <c r="Y25" s="44">
        <f t="shared" si="10"/>
        <v>26140.649898567823</v>
      </c>
      <c r="Z25" s="44"/>
      <c r="AA25" s="44">
        <f t="shared" si="2"/>
        <v>0</v>
      </c>
      <c r="AB25" s="44">
        <f t="shared" si="11"/>
        <v>0</v>
      </c>
      <c r="AC25" s="44"/>
      <c r="AD25" s="44">
        <f t="shared" si="12"/>
        <v>0</v>
      </c>
      <c r="AE25" s="44">
        <f t="shared" si="13"/>
        <v>0</v>
      </c>
      <c r="AF25" s="44"/>
      <c r="AG25" s="44">
        <f t="shared" si="14"/>
        <v>0</v>
      </c>
      <c r="AH25" s="44">
        <f t="shared" si="15"/>
        <v>0</v>
      </c>
      <c r="AI25" s="44">
        <v>2</v>
      </c>
      <c r="AJ25" s="44">
        <f t="shared" si="16"/>
        <v>52281.299797135645</v>
      </c>
      <c r="AK25" s="44">
        <f t="shared" si="17"/>
        <v>52281.299797135645</v>
      </c>
      <c r="AL25" s="44"/>
      <c r="AM25" s="44">
        <f t="shared" si="18"/>
        <v>0</v>
      </c>
      <c r="AN25" s="44">
        <f t="shared" si="19"/>
        <v>0</v>
      </c>
      <c r="AO25" s="44"/>
      <c r="AP25" s="44">
        <f t="shared" si="20"/>
        <v>0</v>
      </c>
      <c r="AQ25" s="44">
        <f t="shared" si="21"/>
        <v>0</v>
      </c>
      <c r="AR25" s="44"/>
      <c r="AS25" s="44">
        <f t="shared" si="22"/>
        <v>0</v>
      </c>
      <c r="AT25" s="44">
        <f t="shared" si="23"/>
        <v>0</v>
      </c>
      <c r="AU25" s="44"/>
      <c r="AV25" s="44">
        <f t="shared" si="24"/>
        <v>0</v>
      </c>
      <c r="AW25" s="44">
        <f t="shared" si="25"/>
        <v>0</v>
      </c>
      <c r="AX25" s="44"/>
      <c r="AY25" s="44">
        <f t="shared" si="26"/>
        <v>0</v>
      </c>
      <c r="AZ25" s="44">
        <f t="shared" si="27"/>
        <v>0</v>
      </c>
      <c r="BA25" s="44">
        <v>2</v>
      </c>
      <c r="BB25" s="44">
        <f t="shared" si="28"/>
        <v>52281.299797135645</v>
      </c>
      <c r="BC25" s="44">
        <f t="shared" si="29"/>
        <v>52281.299797135645</v>
      </c>
      <c r="BD25" s="44"/>
      <c r="BE25" s="44">
        <f t="shared" si="3"/>
        <v>0</v>
      </c>
      <c r="BF25" s="44">
        <f t="shared" si="4"/>
        <v>0</v>
      </c>
      <c r="BG25" s="44"/>
      <c r="BH25" s="44">
        <f t="shared" si="30"/>
        <v>0</v>
      </c>
      <c r="BI25" s="44">
        <f t="shared" si="31"/>
        <v>0</v>
      </c>
    </row>
    <row r="26" spans="2:61" s="43" customFormat="1" ht="38.25" x14ac:dyDescent="0.25">
      <c r="B26" s="88">
        <v>18</v>
      </c>
      <c r="C26" s="85" t="s">
        <v>741</v>
      </c>
      <c r="D26" s="88" t="s">
        <v>729</v>
      </c>
      <c r="E26" s="208">
        <f>(33439/9250)*4900</f>
        <v>17713.632432432431</v>
      </c>
      <c r="F26" s="216">
        <f>'Labour cost Escalation Factor'!$J$10</f>
        <v>0.27984207704983549</v>
      </c>
      <c r="G26" s="115">
        <f t="shared" si="33"/>
        <v>22670.652124421653</v>
      </c>
      <c r="H26" s="115">
        <f t="shared" si="34"/>
        <v>22670.652124421653</v>
      </c>
      <c r="I26" s="231" t="s">
        <v>800</v>
      </c>
      <c r="J26" s="230"/>
      <c r="K26" s="230"/>
      <c r="L26" s="230"/>
      <c r="M26" s="172"/>
      <c r="N26" s="44"/>
      <c r="O26" s="44">
        <f t="shared" si="0"/>
        <v>0</v>
      </c>
      <c r="P26" s="44">
        <f t="shared" si="1"/>
        <v>0</v>
      </c>
      <c r="Q26" s="44"/>
      <c r="R26" s="44">
        <f t="shared" si="5"/>
        <v>0</v>
      </c>
      <c r="S26" s="44">
        <f t="shared" si="6"/>
        <v>0</v>
      </c>
      <c r="T26" s="44"/>
      <c r="U26" s="44">
        <f t="shared" si="7"/>
        <v>0</v>
      </c>
      <c r="V26" s="44">
        <f t="shared" si="8"/>
        <v>0</v>
      </c>
      <c r="W26" s="44"/>
      <c r="X26" s="44">
        <f t="shared" si="9"/>
        <v>0</v>
      </c>
      <c r="Y26" s="44">
        <f t="shared" si="10"/>
        <v>0</v>
      </c>
      <c r="Z26" s="44"/>
      <c r="AA26" s="44">
        <f t="shared" si="2"/>
        <v>0</v>
      </c>
      <c r="AB26" s="44">
        <f t="shared" si="11"/>
        <v>0</v>
      </c>
      <c r="AC26" s="44"/>
      <c r="AD26" s="44">
        <f t="shared" si="12"/>
        <v>0</v>
      </c>
      <c r="AE26" s="44">
        <f t="shared" si="13"/>
        <v>0</v>
      </c>
      <c r="AF26" s="44"/>
      <c r="AG26" s="44">
        <f t="shared" si="14"/>
        <v>0</v>
      </c>
      <c r="AH26" s="44">
        <f t="shared" si="15"/>
        <v>0</v>
      </c>
      <c r="AI26" s="44"/>
      <c r="AJ26" s="44">
        <f t="shared" si="16"/>
        <v>0</v>
      </c>
      <c r="AK26" s="44">
        <f t="shared" si="17"/>
        <v>0</v>
      </c>
      <c r="AL26" s="44"/>
      <c r="AM26" s="44">
        <f t="shared" si="18"/>
        <v>0</v>
      </c>
      <c r="AN26" s="44">
        <f t="shared" si="19"/>
        <v>0</v>
      </c>
      <c r="AO26" s="44"/>
      <c r="AP26" s="44">
        <f t="shared" si="20"/>
        <v>0</v>
      </c>
      <c r="AQ26" s="44">
        <f t="shared" si="21"/>
        <v>0</v>
      </c>
      <c r="AR26" s="44"/>
      <c r="AS26" s="44">
        <f t="shared" si="22"/>
        <v>0</v>
      </c>
      <c r="AT26" s="44">
        <f t="shared" si="23"/>
        <v>0</v>
      </c>
      <c r="AU26" s="44"/>
      <c r="AV26" s="44">
        <f t="shared" si="24"/>
        <v>0</v>
      </c>
      <c r="AW26" s="44">
        <f t="shared" si="25"/>
        <v>0</v>
      </c>
      <c r="AX26" s="44"/>
      <c r="AY26" s="44">
        <f t="shared" si="26"/>
        <v>0</v>
      </c>
      <c r="AZ26" s="44">
        <f t="shared" si="27"/>
        <v>0</v>
      </c>
      <c r="BA26" s="44"/>
      <c r="BB26" s="44">
        <f t="shared" si="28"/>
        <v>0</v>
      </c>
      <c r="BC26" s="44">
        <f t="shared" si="29"/>
        <v>0</v>
      </c>
      <c r="BD26" s="44"/>
      <c r="BE26" s="44">
        <f t="shared" si="3"/>
        <v>0</v>
      </c>
      <c r="BF26" s="44">
        <f t="shared" si="4"/>
        <v>0</v>
      </c>
      <c r="BG26" s="44"/>
      <c r="BH26" s="44">
        <f t="shared" si="30"/>
        <v>0</v>
      </c>
      <c r="BI26" s="44">
        <f t="shared" si="31"/>
        <v>0</v>
      </c>
    </row>
    <row r="27" spans="2:61" s="43" customFormat="1" ht="38.25" x14ac:dyDescent="0.25">
      <c r="B27" s="88">
        <v>19</v>
      </c>
      <c r="C27" s="85" t="s">
        <v>742</v>
      </c>
      <c r="D27" s="88" t="s">
        <v>729</v>
      </c>
      <c r="E27" s="208">
        <f>(33439/9250)*4400</f>
        <v>15906.118918918917</v>
      </c>
      <c r="F27" s="216">
        <f>'Labour cost Escalation Factor'!$J$10</f>
        <v>0.27984207704983549</v>
      </c>
      <c r="G27" s="115">
        <f t="shared" si="33"/>
        <v>20357.320274990871</v>
      </c>
      <c r="H27" s="115">
        <f t="shared" si="34"/>
        <v>20357.320274990871</v>
      </c>
      <c r="I27" s="231" t="s">
        <v>800</v>
      </c>
      <c r="J27" s="230"/>
      <c r="K27" s="230"/>
      <c r="L27" s="230"/>
      <c r="M27" s="172"/>
      <c r="N27" s="44"/>
      <c r="O27" s="44">
        <f t="shared" si="0"/>
        <v>0</v>
      </c>
      <c r="P27" s="44">
        <f t="shared" si="1"/>
        <v>0</v>
      </c>
      <c r="Q27" s="44"/>
      <c r="R27" s="44">
        <f t="shared" si="5"/>
        <v>0</v>
      </c>
      <c r="S27" s="44">
        <f t="shared" si="6"/>
        <v>0</v>
      </c>
      <c r="T27" s="44"/>
      <c r="U27" s="44">
        <f t="shared" si="7"/>
        <v>0</v>
      </c>
      <c r="V27" s="44">
        <f t="shared" si="8"/>
        <v>0</v>
      </c>
      <c r="W27" s="44"/>
      <c r="X27" s="44">
        <f t="shared" si="9"/>
        <v>0</v>
      </c>
      <c r="Y27" s="44">
        <f t="shared" si="10"/>
        <v>0</v>
      </c>
      <c r="Z27" s="44"/>
      <c r="AA27" s="44">
        <f t="shared" si="2"/>
        <v>0</v>
      </c>
      <c r="AB27" s="44">
        <f t="shared" si="11"/>
        <v>0</v>
      </c>
      <c r="AC27" s="44"/>
      <c r="AD27" s="44">
        <f t="shared" si="12"/>
        <v>0</v>
      </c>
      <c r="AE27" s="44">
        <f t="shared" si="13"/>
        <v>0</v>
      </c>
      <c r="AF27" s="44"/>
      <c r="AG27" s="44">
        <f t="shared" si="14"/>
        <v>0</v>
      </c>
      <c r="AH27" s="44">
        <f t="shared" si="15"/>
        <v>0</v>
      </c>
      <c r="AI27" s="44"/>
      <c r="AJ27" s="44">
        <f t="shared" si="16"/>
        <v>0</v>
      </c>
      <c r="AK27" s="44">
        <f t="shared" si="17"/>
        <v>0</v>
      </c>
      <c r="AL27" s="44"/>
      <c r="AM27" s="44">
        <f t="shared" si="18"/>
        <v>0</v>
      </c>
      <c r="AN27" s="44">
        <f t="shared" si="19"/>
        <v>0</v>
      </c>
      <c r="AO27" s="44"/>
      <c r="AP27" s="44">
        <f t="shared" si="20"/>
        <v>0</v>
      </c>
      <c r="AQ27" s="44">
        <f t="shared" si="21"/>
        <v>0</v>
      </c>
      <c r="AR27" s="44"/>
      <c r="AS27" s="44">
        <f t="shared" si="22"/>
        <v>0</v>
      </c>
      <c r="AT27" s="44">
        <f t="shared" si="23"/>
        <v>0</v>
      </c>
      <c r="AU27" s="44"/>
      <c r="AV27" s="44">
        <f t="shared" si="24"/>
        <v>0</v>
      </c>
      <c r="AW27" s="44">
        <f t="shared" si="25"/>
        <v>0</v>
      </c>
      <c r="AX27" s="44"/>
      <c r="AY27" s="44">
        <f t="shared" si="26"/>
        <v>0</v>
      </c>
      <c r="AZ27" s="44">
        <f t="shared" si="27"/>
        <v>0</v>
      </c>
      <c r="BA27" s="44"/>
      <c r="BB27" s="44">
        <f t="shared" si="28"/>
        <v>0</v>
      </c>
      <c r="BC27" s="44">
        <f t="shared" si="29"/>
        <v>0</v>
      </c>
      <c r="BD27" s="44"/>
      <c r="BE27" s="44">
        <f t="shared" si="3"/>
        <v>0</v>
      </c>
      <c r="BF27" s="44">
        <f t="shared" si="4"/>
        <v>0</v>
      </c>
      <c r="BG27" s="44"/>
      <c r="BH27" s="44">
        <f t="shared" si="30"/>
        <v>0</v>
      </c>
      <c r="BI27" s="44">
        <f t="shared" si="31"/>
        <v>0</v>
      </c>
    </row>
    <row r="28" spans="2:61" s="43" customFormat="1" ht="38.25" x14ac:dyDescent="0.25">
      <c r="B28" s="88">
        <v>20</v>
      </c>
      <c r="C28" s="85" t="s">
        <v>743</v>
      </c>
      <c r="D28" s="88" t="s">
        <v>729</v>
      </c>
      <c r="E28" s="208">
        <f>(33439/9250)*3850</f>
        <v>13917.854054054053</v>
      </c>
      <c r="F28" s="216">
        <f>'Labour cost Escalation Factor'!$J$10</f>
        <v>0.27984207704983549</v>
      </c>
      <c r="G28" s="115">
        <f t="shared" si="33"/>
        <v>17812.655240617012</v>
      </c>
      <c r="H28" s="115">
        <f t="shared" si="34"/>
        <v>17812.655240617012</v>
      </c>
      <c r="I28" s="231" t="s">
        <v>800</v>
      </c>
      <c r="J28" s="230"/>
      <c r="K28" s="230"/>
      <c r="L28" s="230"/>
      <c r="M28" s="172"/>
      <c r="N28" s="44"/>
      <c r="O28" s="44">
        <f t="shared" si="0"/>
        <v>0</v>
      </c>
      <c r="P28" s="44">
        <f t="shared" si="1"/>
        <v>0</v>
      </c>
      <c r="Q28" s="44"/>
      <c r="R28" s="44">
        <f t="shared" si="5"/>
        <v>0</v>
      </c>
      <c r="S28" s="44">
        <f t="shared" si="6"/>
        <v>0</v>
      </c>
      <c r="T28" s="44"/>
      <c r="U28" s="44">
        <f t="shared" si="7"/>
        <v>0</v>
      </c>
      <c r="V28" s="44">
        <f t="shared" si="8"/>
        <v>0</v>
      </c>
      <c r="W28" s="44"/>
      <c r="X28" s="44">
        <f t="shared" si="9"/>
        <v>0</v>
      </c>
      <c r="Y28" s="44">
        <f t="shared" si="10"/>
        <v>0</v>
      </c>
      <c r="Z28" s="44"/>
      <c r="AA28" s="44">
        <f t="shared" si="2"/>
        <v>0</v>
      </c>
      <c r="AB28" s="44">
        <f t="shared" si="11"/>
        <v>0</v>
      </c>
      <c r="AC28" s="44"/>
      <c r="AD28" s="44">
        <f t="shared" si="12"/>
        <v>0</v>
      </c>
      <c r="AE28" s="44">
        <f t="shared" si="13"/>
        <v>0</v>
      </c>
      <c r="AF28" s="44"/>
      <c r="AG28" s="44">
        <f t="shared" si="14"/>
        <v>0</v>
      </c>
      <c r="AH28" s="44">
        <f t="shared" si="15"/>
        <v>0</v>
      </c>
      <c r="AI28" s="44"/>
      <c r="AJ28" s="44">
        <f t="shared" si="16"/>
        <v>0</v>
      </c>
      <c r="AK28" s="44">
        <f t="shared" si="17"/>
        <v>0</v>
      </c>
      <c r="AL28" s="44"/>
      <c r="AM28" s="44">
        <f t="shared" si="18"/>
        <v>0</v>
      </c>
      <c r="AN28" s="44">
        <f t="shared" si="19"/>
        <v>0</v>
      </c>
      <c r="AO28" s="44"/>
      <c r="AP28" s="44">
        <f t="shared" si="20"/>
        <v>0</v>
      </c>
      <c r="AQ28" s="44">
        <f t="shared" si="21"/>
        <v>0</v>
      </c>
      <c r="AR28" s="44"/>
      <c r="AS28" s="44">
        <f t="shared" si="22"/>
        <v>0</v>
      </c>
      <c r="AT28" s="44">
        <f t="shared" si="23"/>
        <v>0</v>
      </c>
      <c r="AU28" s="44"/>
      <c r="AV28" s="44">
        <f t="shared" si="24"/>
        <v>0</v>
      </c>
      <c r="AW28" s="44">
        <f t="shared" si="25"/>
        <v>0</v>
      </c>
      <c r="AX28" s="44"/>
      <c r="AY28" s="44">
        <f t="shared" si="26"/>
        <v>0</v>
      </c>
      <c r="AZ28" s="44">
        <f t="shared" si="27"/>
        <v>0</v>
      </c>
      <c r="BA28" s="44"/>
      <c r="BB28" s="44">
        <f t="shared" si="28"/>
        <v>0</v>
      </c>
      <c r="BC28" s="44">
        <f t="shared" si="29"/>
        <v>0</v>
      </c>
      <c r="BD28" s="44"/>
      <c r="BE28" s="44">
        <f t="shared" si="3"/>
        <v>0</v>
      </c>
      <c r="BF28" s="44">
        <f t="shared" si="4"/>
        <v>0</v>
      </c>
      <c r="BG28" s="44"/>
      <c r="BH28" s="44">
        <f t="shared" si="30"/>
        <v>0</v>
      </c>
      <c r="BI28" s="44">
        <f t="shared" si="31"/>
        <v>0</v>
      </c>
    </row>
    <row r="29" spans="2:61" s="43" customFormat="1" ht="38.25" x14ac:dyDescent="0.25">
      <c r="B29" s="88">
        <v>21</v>
      </c>
      <c r="C29" s="85" t="s">
        <v>744</v>
      </c>
      <c r="D29" s="88" t="s">
        <v>729</v>
      </c>
      <c r="E29" s="208">
        <f>(33439/9250)*3300</f>
        <v>11929.589189189188</v>
      </c>
      <c r="F29" s="216">
        <f>'Labour cost Escalation Factor'!$J$10</f>
        <v>0.27984207704983549</v>
      </c>
      <c r="G29" s="115">
        <f t="shared" si="33"/>
        <v>15267.990206243154</v>
      </c>
      <c r="H29" s="115">
        <f t="shared" si="34"/>
        <v>15267.990206243154</v>
      </c>
      <c r="I29" s="231" t="s">
        <v>800</v>
      </c>
      <c r="J29" s="230"/>
      <c r="K29" s="230"/>
      <c r="L29" s="230"/>
      <c r="M29" s="172"/>
      <c r="N29" s="44"/>
      <c r="O29" s="44">
        <f t="shared" si="0"/>
        <v>0</v>
      </c>
      <c r="P29" s="44">
        <f t="shared" si="1"/>
        <v>0</v>
      </c>
      <c r="Q29" s="44"/>
      <c r="R29" s="44">
        <f t="shared" si="5"/>
        <v>0</v>
      </c>
      <c r="S29" s="44">
        <f t="shared" si="6"/>
        <v>0</v>
      </c>
      <c r="T29" s="44"/>
      <c r="U29" s="44">
        <f t="shared" si="7"/>
        <v>0</v>
      </c>
      <c r="V29" s="44">
        <f t="shared" si="8"/>
        <v>0</v>
      </c>
      <c r="W29" s="44"/>
      <c r="X29" s="44">
        <f t="shared" si="9"/>
        <v>0</v>
      </c>
      <c r="Y29" s="44">
        <f t="shared" si="10"/>
        <v>0</v>
      </c>
      <c r="Z29" s="44"/>
      <c r="AA29" s="44">
        <f t="shared" si="2"/>
        <v>0</v>
      </c>
      <c r="AB29" s="44">
        <f t="shared" si="11"/>
        <v>0</v>
      </c>
      <c r="AC29" s="44"/>
      <c r="AD29" s="44">
        <f t="shared" si="12"/>
        <v>0</v>
      </c>
      <c r="AE29" s="44">
        <f t="shared" si="13"/>
        <v>0</v>
      </c>
      <c r="AF29" s="44"/>
      <c r="AG29" s="44">
        <f t="shared" si="14"/>
        <v>0</v>
      </c>
      <c r="AH29" s="44">
        <f t="shared" si="15"/>
        <v>0</v>
      </c>
      <c r="AI29" s="44"/>
      <c r="AJ29" s="44">
        <f t="shared" si="16"/>
        <v>0</v>
      </c>
      <c r="AK29" s="44">
        <f t="shared" si="17"/>
        <v>0</v>
      </c>
      <c r="AL29" s="44"/>
      <c r="AM29" s="44">
        <f t="shared" si="18"/>
        <v>0</v>
      </c>
      <c r="AN29" s="44">
        <f t="shared" si="19"/>
        <v>0</v>
      </c>
      <c r="AO29" s="44"/>
      <c r="AP29" s="44">
        <f t="shared" si="20"/>
        <v>0</v>
      </c>
      <c r="AQ29" s="44">
        <f t="shared" si="21"/>
        <v>0</v>
      </c>
      <c r="AR29" s="44"/>
      <c r="AS29" s="44">
        <f t="shared" si="22"/>
        <v>0</v>
      </c>
      <c r="AT29" s="44">
        <f t="shared" si="23"/>
        <v>0</v>
      </c>
      <c r="AU29" s="44"/>
      <c r="AV29" s="44">
        <f t="shared" si="24"/>
        <v>0</v>
      </c>
      <c r="AW29" s="44">
        <f t="shared" si="25"/>
        <v>0</v>
      </c>
      <c r="AX29" s="44"/>
      <c r="AY29" s="44">
        <f t="shared" si="26"/>
        <v>0</v>
      </c>
      <c r="AZ29" s="44">
        <f t="shared" si="27"/>
        <v>0</v>
      </c>
      <c r="BA29" s="44"/>
      <c r="BB29" s="44">
        <f t="shared" si="28"/>
        <v>0</v>
      </c>
      <c r="BC29" s="44">
        <f t="shared" si="29"/>
        <v>0</v>
      </c>
      <c r="BD29" s="44"/>
      <c r="BE29" s="44">
        <f t="shared" si="3"/>
        <v>0</v>
      </c>
      <c r="BF29" s="44">
        <f t="shared" si="4"/>
        <v>0</v>
      </c>
      <c r="BG29" s="44"/>
      <c r="BH29" s="44">
        <f t="shared" si="30"/>
        <v>0</v>
      </c>
      <c r="BI29" s="44">
        <f t="shared" si="31"/>
        <v>0</v>
      </c>
    </row>
    <row r="30" spans="2:61" s="43" customFormat="1" ht="38.25" x14ac:dyDescent="0.25">
      <c r="B30" s="88">
        <v>22</v>
      </c>
      <c r="C30" s="85" t="s">
        <v>745</v>
      </c>
      <c r="D30" s="88" t="s">
        <v>729</v>
      </c>
      <c r="E30" s="208">
        <f>(33439/9250)*6480</f>
        <v>23425.375135135135</v>
      </c>
      <c r="F30" s="216">
        <f>'Labour cost Escalation Factor'!$J$10</f>
        <v>0.27984207704983549</v>
      </c>
      <c r="G30" s="115">
        <f t="shared" si="33"/>
        <v>29980.780768622924</v>
      </c>
      <c r="H30" s="115">
        <f t="shared" si="34"/>
        <v>29980.780768622924</v>
      </c>
      <c r="I30" s="231" t="s">
        <v>800</v>
      </c>
      <c r="J30" s="230"/>
      <c r="K30" s="230"/>
      <c r="L30" s="230"/>
      <c r="M30" s="172"/>
      <c r="N30" s="44"/>
      <c r="O30" s="44">
        <f t="shared" si="0"/>
        <v>0</v>
      </c>
      <c r="P30" s="44">
        <f t="shared" si="1"/>
        <v>0</v>
      </c>
      <c r="Q30" s="44"/>
      <c r="R30" s="44">
        <f t="shared" si="5"/>
        <v>0</v>
      </c>
      <c r="S30" s="44">
        <f t="shared" si="6"/>
        <v>0</v>
      </c>
      <c r="T30" s="44"/>
      <c r="U30" s="44">
        <f t="shared" si="7"/>
        <v>0</v>
      </c>
      <c r="V30" s="44">
        <f t="shared" si="8"/>
        <v>0</v>
      </c>
      <c r="W30" s="44"/>
      <c r="X30" s="44">
        <f t="shared" si="9"/>
        <v>0</v>
      </c>
      <c r="Y30" s="44">
        <f t="shared" si="10"/>
        <v>0</v>
      </c>
      <c r="Z30" s="44"/>
      <c r="AA30" s="44">
        <f t="shared" si="2"/>
        <v>0</v>
      </c>
      <c r="AB30" s="44">
        <f t="shared" si="11"/>
        <v>0</v>
      </c>
      <c r="AC30" s="44"/>
      <c r="AD30" s="44">
        <f t="shared" si="12"/>
        <v>0</v>
      </c>
      <c r="AE30" s="44">
        <f t="shared" si="13"/>
        <v>0</v>
      </c>
      <c r="AF30" s="44"/>
      <c r="AG30" s="44">
        <f t="shared" si="14"/>
        <v>0</v>
      </c>
      <c r="AH30" s="44">
        <f t="shared" si="15"/>
        <v>0</v>
      </c>
      <c r="AI30" s="44"/>
      <c r="AJ30" s="44">
        <f t="shared" si="16"/>
        <v>0</v>
      </c>
      <c r="AK30" s="44">
        <f t="shared" si="17"/>
        <v>0</v>
      </c>
      <c r="AL30" s="44"/>
      <c r="AM30" s="44">
        <f t="shared" si="18"/>
        <v>0</v>
      </c>
      <c r="AN30" s="44">
        <f t="shared" si="19"/>
        <v>0</v>
      </c>
      <c r="AO30" s="44"/>
      <c r="AP30" s="44">
        <f t="shared" si="20"/>
        <v>0</v>
      </c>
      <c r="AQ30" s="44">
        <f t="shared" si="21"/>
        <v>0</v>
      </c>
      <c r="AR30" s="44"/>
      <c r="AS30" s="44">
        <f t="shared" si="22"/>
        <v>0</v>
      </c>
      <c r="AT30" s="44">
        <f t="shared" si="23"/>
        <v>0</v>
      </c>
      <c r="AU30" s="44"/>
      <c r="AV30" s="44">
        <f t="shared" si="24"/>
        <v>0</v>
      </c>
      <c r="AW30" s="44">
        <f t="shared" si="25"/>
        <v>0</v>
      </c>
      <c r="AX30" s="44"/>
      <c r="AY30" s="44">
        <f t="shared" si="26"/>
        <v>0</v>
      </c>
      <c r="AZ30" s="44">
        <f t="shared" si="27"/>
        <v>0</v>
      </c>
      <c r="BA30" s="44"/>
      <c r="BB30" s="44">
        <f t="shared" si="28"/>
        <v>0</v>
      </c>
      <c r="BC30" s="44">
        <f t="shared" si="29"/>
        <v>0</v>
      </c>
      <c r="BD30" s="44"/>
      <c r="BE30" s="44">
        <f t="shared" si="3"/>
        <v>0</v>
      </c>
      <c r="BF30" s="44">
        <f t="shared" si="4"/>
        <v>0</v>
      </c>
      <c r="BG30" s="44"/>
      <c r="BH30" s="44">
        <f t="shared" si="30"/>
        <v>0</v>
      </c>
      <c r="BI30" s="44">
        <f t="shared" si="31"/>
        <v>0</v>
      </c>
    </row>
    <row r="31" spans="2:61" s="43" customFormat="1" ht="38.25" x14ac:dyDescent="0.25">
      <c r="B31" s="88">
        <v>23</v>
      </c>
      <c r="C31" s="85" t="s">
        <v>746</v>
      </c>
      <c r="D31" s="88" t="s">
        <v>729</v>
      </c>
      <c r="E31" s="208">
        <f>(33439/9250)*5170</f>
        <v>18689.689729729729</v>
      </c>
      <c r="F31" s="216">
        <f>'Labour cost Escalation Factor'!$J$10</f>
        <v>0.27984207704983549</v>
      </c>
      <c r="G31" s="115">
        <f t="shared" si="33"/>
        <v>23919.851323114275</v>
      </c>
      <c r="H31" s="115">
        <f t="shared" si="34"/>
        <v>23919.851323114275</v>
      </c>
      <c r="I31" s="231" t="s">
        <v>800</v>
      </c>
      <c r="J31" s="230"/>
      <c r="K31" s="230"/>
      <c r="L31" s="230"/>
      <c r="M31" s="172"/>
      <c r="N31" s="44"/>
      <c r="O31" s="44">
        <f t="shared" si="0"/>
        <v>0</v>
      </c>
      <c r="P31" s="44">
        <f t="shared" si="1"/>
        <v>0</v>
      </c>
      <c r="Q31" s="44"/>
      <c r="R31" s="44">
        <f t="shared" si="5"/>
        <v>0</v>
      </c>
      <c r="S31" s="44">
        <f t="shared" si="6"/>
        <v>0</v>
      </c>
      <c r="T31" s="44"/>
      <c r="U31" s="44">
        <f t="shared" si="7"/>
        <v>0</v>
      </c>
      <c r="V31" s="44">
        <f t="shared" si="8"/>
        <v>0</v>
      </c>
      <c r="W31" s="44"/>
      <c r="X31" s="44">
        <f t="shared" si="9"/>
        <v>0</v>
      </c>
      <c r="Y31" s="44">
        <f t="shared" si="10"/>
        <v>0</v>
      </c>
      <c r="Z31" s="44"/>
      <c r="AA31" s="44">
        <f t="shared" si="2"/>
        <v>0</v>
      </c>
      <c r="AB31" s="44">
        <f t="shared" si="11"/>
        <v>0</v>
      </c>
      <c r="AC31" s="44"/>
      <c r="AD31" s="44">
        <f t="shared" si="12"/>
        <v>0</v>
      </c>
      <c r="AE31" s="44">
        <f t="shared" si="13"/>
        <v>0</v>
      </c>
      <c r="AF31" s="44"/>
      <c r="AG31" s="44">
        <f t="shared" si="14"/>
        <v>0</v>
      </c>
      <c r="AH31" s="44">
        <f t="shared" si="15"/>
        <v>0</v>
      </c>
      <c r="AI31" s="44"/>
      <c r="AJ31" s="44">
        <f t="shared" si="16"/>
        <v>0</v>
      </c>
      <c r="AK31" s="44">
        <f t="shared" si="17"/>
        <v>0</v>
      </c>
      <c r="AL31" s="44"/>
      <c r="AM31" s="44">
        <f t="shared" si="18"/>
        <v>0</v>
      </c>
      <c r="AN31" s="44">
        <f t="shared" si="19"/>
        <v>0</v>
      </c>
      <c r="AO31" s="44"/>
      <c r="AP31" s="44">
        <f t="shared" si="20"/>
        <v>0</v>
      </c>
      <c r="AQ31" s="44">
        <f t="shared" si="21"/>
        <v>0</v>
      </c>
      <c r="AR31" s="44"/>
      <c r="AS31" s="44">
        <f t="shared" si="22"/>
        <v>0</v>
      </c>
      <c r="AT31" s="44">
        <f t="shared" si="23"/>
        <v>0</v>
      </c>
      <c r="AU31" s="44"/>
      <c r="AV31" s="44">
        <f t="shared" si="24"/>
        <v>0</v>
      </c>
      <c r="AW31" s="44">
        <f t="shared" si="25"/>
        <v>0</v>
      </c>
      <c r="AX31" s="44"/>
      <c r="AY31" s="44">
        <f t="shared" si="26"/>
        <v>0</v>
      </c>
      <c r="AZ31" s="44">
        <f t="shared" si="27"/>
        <v>0</v>
      </c>
      <c r="BA31" s="44"/>
      <c r="BB31" s="44">
        <f t="shared" si="28"/>
        <v>0</v>
      </c>
      <c r="BC31" s="44">
        <f t="shared" si="29"/>
        <v>0</v>
      </c>
      <c r="BD31" s="44"/>
      <c r="BE31" s="44">
        <f t="shared" si="3"/>
        <v>0</v>
      </c>
      <c r="BF31" s="44">
        <f t="shared" si="4"/>
        <v>0</v>
      </c>
      <c r="BG31" s="44"/>
      <c r="BH31" s="44">
        <f t="shared" si="30"/>
        <v>0</v>
      </c>
      <c r="BI31" s="44">
        <f t="shared" si="31"/>
        <v>0</v>
      </c>
    </row>
    <row r="32" spans="2:61" s="43" customFormat="1" ht="38.25" x14ac:dyDescent="0.25">
      <c r="B32" s="88">
        <v>24</v>
      </c>
      <c r="C32" s="85" t="s">
        <v>747</v>
      </c>
      <c r="D32" s="88" t="s">
        <v>729</v>
      </c>
      <c r="E32" s="208">
        <f>(33439/9250)*4290</f>
        <v>15508.465945945945</v>
      </c>
      <c r="F32" s="216">
        <f>'Labour cost Escalation Factor'!$J$10</f>
        <v>0.27984207704983549</v>
      </c>
      <c r="G32" s="115">
        <f t="shared" si="33"/>
        <v>19848.387268116101</v>
      </c>
      <c r="H32" s="115">
        <f t="shared" si="34"/>
        <v>19848.387268116101</v>
      </c>
      <c r="I32" s="231" t="s">
        <v>800</v>
      </c>
      <c r="J32" s="230"/>
      <c r="K32" s="230"/>
      <c r="L32" s="230"/>
      <c r="M32" s="172"/>
      <c r="N32" s="44"/>
      <c r="O32" s="44">
        <f t="shared" si="0"/>
        <v>0</v>
      </c>
      <c r="P32" s="44">
        <f t="shared" si="1"/>
        <v>0</v>
      </c>
      <c r="Q32" s="44"/>
      <c r="R32" s="44">
        <f t="shared" si="5"/>
        <v>0</v>
      </c>
      <c r="S32" s="44">
        <f t="shared" si="6"/>
        <v>0</v>
      </c>
      <c r="T32" s="44"/>
      <c r="U32" s="44">
        <f t="shared" si="7"/>
        <v>0</v>
      </c>
      <c r="V32" s="44">
        <f t="shared" si="8"/>
        <v>0</v>
      </c>
      <c r="W32" s="44"/>
      <c r="X32" s="44">
        <f t="shared" si="9"/>
        <v>0</v>
      </c>
      <c r="Y32" s="44">
        <f t="shared" si="10"/>
        <v>0</v>
      </c>
      <c r="Z32" s="44"/>
      <c r="AA32" s="44">
        <f t="shared" si="2"/>
        <v>0</v>
      </c>
      <c r="AB32" s="44">
        <f t="shared" si="11"/>
        <v>0</v>
      </c>
      <c r="AC32" s="44"/>
      <c r="AD32" s="44">
        <f t="shared" si="12"/>
        <v>0</v>
      </c>
      <c r="AE32" s="44">
        <f t="shared" si="13"/>
        <v>0</v>
      </c>
      <c r="AF32" s="44"/>
      <c r="AG32" s="44">
        <f t="shared" si="14"/>
        <v>0</v>
      </c>
      <c r="AH32" s="44">
        <f t="shared" si="15"/>
        <v>0</v>
      </c>
      <c r="AI32" s="44"/>
      <c r="AJ32" s="44">
        <f t="shared" si="16"/>
        <v>0</v>
      </c>
      <c r="AK32" s="44">
        <f t="shared" si="17"/>
        <v>0</v>
      </c>
      <c r="AL32" s="44"/>
      <c r="AM32" s="44">
        <f t="shared" si="18"/>
        <v>0</v>
      </c>
      <c r="AN32" s="44">
        <f t="shared" si="19"/>
        <v>0</v>
      </c>
      <c r="AO32" s="44"/>
      <c r="AP32" s="44">
        <f t="shared" si="20"/>
        <v>0</v>
      </c>
      <c r="AQ32" s="44">
        <f t="shared" si="21"/>
        <v>0</v>
      </c>
      <c r="AR32" s="44"/>
      <c r="AS32" s="44">
        <f t="shared" si="22"/>
        <v>0</v>
      </c>
      <c r="AT32" s="44">
        <f t="shared" si="23"/>
        <v>0</v>
      </c>
      <c r="AU32" s="44"/>
      <c r="AV32" s="44">
        <f t="shared" si="24"/>
        <v>0</v>
      </c>
      <c r="AW32" s="44">
        <f t="shared" si="25"/>
        <v>0</v>
      </c>
      <c r="AX32" s="44"/>
      <c r="AY32" s="44">
        <f t="shared" si="26"/>
        <v>0</v>
      </c>
      <c r="AZ32" s="44">
        <f t="shared" si="27"/>
        <v>0</v>
      </c>
      <c r="BA32" s="44"/>
      <c r="BB32" s="44">
        <f t="shared" si="28"/>
        <v>0</v>
      </c>
      <c r="BC32" s="44">
        <f t="shared" si="29"/>
        <v>0</v>
      </c>
      <c r="BD32" s="44"/>
      <c r="BE32" s="44">
        <f t="shared" si="3"/>
        <v>0</v>
      </c>
      <c r="BF32" s="44">
        <f t="shared" si="4"/>
        <v>0</v>
      </c>
      <c r="BG32" s="44"/>
      <c r="BH32" s="44">
        <f t="shared" si="30"/>
        <v>0</v>
      </c>
      <c r="BI32" s="44">
        <f t="shared" si="31"/>
        <v>0</v>
      </c>
    </row>
    <row r="33" spans="2:61" s="43" customFormat="1" ht="38.25" x14ac:dyDescent="0.25">
      <c r="B33" s="88">
        <v>25</v>
      </c>
      <c r="C33" s="85" t="s">
        <v>748</v>
      </c>
      <c r="D33" s="88" t="s">
        <v>729</v>
      </c>
      <c r="E33" s="208">
        <f>(33439/9250)*3480</f>
        <v>12580.294054054053</v>
      </c>
      <c r="F33" s="216">
        <f>'Labour cost Escalation Factor'!$J$10</f>
        <v>0.27984207704983549</v>
      </c>
      <c r="G33" s="115">
        <f t="shared" si="33"/>
        <v>16100.789672038236</v>
      </c>
      <c r="H33" s="115">
        <f t="shared" si="34"/>
        <v>16100.789672038236</v>
      </c>
      <c r="I33" s="231" t="s">
        <v>800</v>
      </c>
      <c r="J33" s="230"/>
      <c r="K33" s="230"/>
      <c r="L33" s="230"/>
      <c r="M33" s="172"/>
      <c r="N33" s="44"/>
      <c r="O33" s="44">
        <f t="shared" si="0"/>
        <v>0</v>
      </c>
      <c r="P33" s="44">
        <f t="shared" si="1"/>
        <v>0</v>
      </c>
      <c r="Q33" s="44"/>
      <c r="R33" s="44">
        <f t="shared" si="5"/>
        <v>0</v>
      </c>
      <c r="S33" s="44">
        <f t="shared" si="6"/>
        <v>0</v>
      </c>
      <c r="T33" s="44"/>
      <c r="U33" s="44">
        <f t="shared" si="7"/>
        <v>0</v>
      </c>
      <c r="V33" s="44">
        <f t="shared" si="8"/>
        <v>0</v>
      </c>
      <c r="W33" s="44"/>
      <c r="X33" s="44">
        <f t="shared" si="9"/>
        <v>0</v>
      </c>
      <c r="Y33" s="44">
        <f t="shared" si="10"/>
        <v>0</v>
      </c>
      <c r="Z33" s="44"/>
      <c r="AA33" s="44">
        <f t="shared" si="2"/>
        <v>0</v>
      </c>
      <c r="AB33" s="44">
        <f t="shared" si="11"/>
        <v>0</v>
      </c>
      <c r="AC33" s="44"/>
      <c r="AD33" s="44">
        <f t="shared" si="12"/>
        <v>0</v>
      </c>
      <c r="AE33" s="44">
        <f t="shared" si="13"/>
        <v>0</v>
      </c>
      <c r="AF33" s="44"/>
      <c r="AG33" s="44">
        <f t="shared" si="14"/>
        <v>0</v>
      </c>
      <c r="AH33" s="44">
        <f t="shared" si="15"/>
        <v>0</v>
      </c>
      <c r="AI33" s="44"/>
      <c r="AJ33" s="44">
        <f t="shared" si="16"/>
        <v>0</v>
      </c>
      <c r="AK33" s="44">
        <f t="shared" si="17"/>
        <v>0</v>
      </c>
      <c r="AL33" s="44"/>
      <c r="AM33" s="44">
        <f t="shared" si="18"/>
        <v>0</v>
      </c>
      <c r="AN33" s="44">
        <f t="shared" si="19"/>
        <v>0</v>
      </c>
      <c r="AO33" s="44"/>
      <c r="AP33" s="44">
        <f t="shared" si="20"/>
        <v>0</v>
      </c>
      <c r="AQ33" s="44">
        <f t="shared" si="21"/>
        <v>0</v>
      </c>
      <c r="AR33" s="44"/>
      <c r="AS33" s="44">
        <f t="shared" si="22"/>
        <v>0</v>
      </c>
      <c r="AT33" s="44">
        <f t="shared" si="23"/>
        <v>0</v>
      </c>
      <c r="AU33" s="44"/>
      <c r="AV33" s="44">
        <f t="shared" si="24"/>
        <v>0</v>
      </c>
      <c r="AW33" s="44">
        <f t="shared" si="25"/>
        <v>0</v>
      </c>
      <c r="AX33" s="44"/>
      <c r="AY33" s="44">
        <f t="shared" si="26"/>
        <v>0</v>
      </c>
      <c r="AZ33" s="44">
        <f t="shared" si="27"/>
        <v>0</v>
      </c>
      <c r="BA33" s="44"/>
      <c r="BB33" s="44">
        <f t="shared" si="28"/>
        <v>0</v>
      </c>
      <c r="BC33" s="44">
        <f t="shared" si="29"/>
        <v>0</v>
      </c>
      <c r="BD33" s="44"/>
      <c r="BE33" s="44">
        <f t="shared" si="3"/>
        <v>0</v>
      </c>
      <c r="BF33" s="44">
        <f t="shared" si="4"/>
        <v>0</v>
      </c>
      <c r="BG33" s="44"/>
      <c r="BH33" s="44">
        <f t="shared" si="30"/>
        <v>0</v>
      </c>
      <c r="BI33" s="44">
        <f t="shared" si="31"/>
        <v>0</v>
      </c>
    </row>
    <row r="34" spans="2:61" s="43" customFormat="1" ht="38.25" x14ac:dyDescent="0.25">
      <c r="B34" s="88">
        <v>26</v>
      </c>
      <c r="C34" s="85" t="s">
        <v>749</v>
      </c>
      <c r="D34" s="88" t="s">
        <v>729</v>
      </c>
      <c r="E34" s="208">
        <f>(33439/9250)*2840</f>
        <v>10266.676756756757</v>
      </c>
      <c r="F34" s="216">
        <f>'Labour cost Escalation Factor'!$J$10</f>
        <v>0.27984207704983549</v>
      </c>
      <c r="G34" s="115">
        <f t="shared" si="33"/>
        <v>13139.724904766837</v>
      </c>
      <c r="H34" s="115">
        <f t="shared" si="34"/>
        <v>13139.724904766837</v>
      </c>
      <c r="I34" s="231" t="s">
        <v>800</v>
      </c>
      <c r="J34" s="230"/>
      <c r="K34" s="230"/>
      <c r="L34" s="230"/>
      <c r="M34" s="172"/>
      <c r="N34" s="44"/>
      <c r="O34" s="44">
        <f t="shared" si="0"/>
        <v>0</v>
      </c>
      <c r="P34" s="44">
        <f t="shared" si="1"/>
        <v>0</v>
      </c>
      <c r="Q34" s="44"/>
      <c r="R34" s="44">
        <f t="shared" si="5"/>
        <v>0</v>
      </c>
      <c r="S34" s="44">
        <f t="shared" si="6"/>
        <v>0</v>
      </c>
      <c r="T34" s="44"/>
      <c r="U34" s="44">
        <f t="shared" si="7"/>
        <v>0</v>
      </c>
      <c r="V34" s="44">
        <f t="shared" si="8"/>
        <v>0</v>
      </c>
      <c r="W34" s="44"/>
      <c r="X34" s="44">
        <f t="shared" si="9"/>
        <v>0</v>
      </c>
      <c r="Y34" s="44">
        <f t="shared" si="10"/>
        <v>0</v>
      </c>
      <c r="Z34" s="44"/>
      <c r="AA34" s="44">
        <f t="shared" si="2"/>
        <v>0</v>
      </c>
      <c r="AB34" s="44">
        <f t="shared" si="11"/>
        <v>0</v>
      </c>
      <c r="AC34" s="44"/>
      <c r="AD34" s="44">
        <f t="shared" si="12"/>
        <v>0</v>
      </c>
      <c r="AE34" s="44">
        <f t="shared" si="13"/>
        <v>0</v>
      </c>
      <c r="AF34" s="44"/>
      <c r="AG34" s="44">
        <f t="shared" si="14"/>
        <v>0</v>
      </c>
      <c r="AH34" s="44">
        <f t="shared" si="15"/>
        <v>0</v>
      </c>
      <c r="AI34" s="44"/>
      <c r="AJ34" s="44">
        <f t="shared" si="16"/>
        <v>0</v>
      </c>
      <c r="AK34" s="44">
        <f t="shared" si="17"/>
        <v>0</v>
      </c>
      <c r="AL34" s="44"/>
      <c r="AM34" s="44">
        <f t="shared" si="18"/>
        <v>0</v>
      </c>
      <c r="AN34" s="44">
        <f t="shared" si="19"/>
        <v>0</v>
      </c>
      <c r="AO34" s="44"/>
      <c r="AP34" s="44">
        <f t="shared" si="20"/>
        <v>0</v>
      </c>
      <c r="AQ34" s="44">
        <f t="shared" si="21"/>
        <v>0</v>
      </c>
      <c r="AR34" s="44"/>
      <c r="AS34" s="44">
        <f t="shared" si="22"/>
        <v>0</v>
      </c>
      <c r="AT34" s="44">
        <f t="shared" si="23"/>
        <v>0</v>
      </c>
      <c r="AU34" s="44"/>
      <c r="AV34" s="44">
        <f t="shared" si="24"/>
        <v>0</v>
      </c>
      <c r="AW34" s="44">
        <f t="shared" si="25"/>
        <v>0</v>
      </c>
      <c r="AX34" s="44"/>
      <c r="AY34" s="44">
        <f t="shared" si="26"/>
        <v>0</v>
      </c>
      <c r="AZ34" s="44">
        <f t="shared" si="27"/>
        <v>0</v>
      </c>
      <c r="BA34" s="44"/>
      <c r="BB34" s="44">
        <f t="shared" si="28"/>
        <v>0</v>
      </c>
      <c r="BC34" s="44">
        <f t="shared" si="29"/>
        <v>0</v>
      </c>
      <c r="BD34" s="44"/>
      <c r="BE34" s="44">
        <f t="shared" si="3"/>
        <v>0</v>
      </c>
      <c r="BF34" s="44">
        <f t="shared" si="4"/>
        <v>0</v>
      </c>
      <c r="BG34" s="44"/>
      <c r="BH34" s="44">
        <f t="shared" si="30"/>
        <v>0</v>
      </c>
      <c r="BI34" s="44">
        <f t="shared" si="31"/>
        <v>0</v>
      </c>
    </row>
    <row r="35" spans="2:61" s="43" customFormat="1" ht="38.25" x14ac:dyDescent="0.25">
      <c r="B35" s="88">
        <v>27</v>
      </c>
      <c r="C35" s="85" t="s">
        <v>750</v>
      </c>
      <c r="D35" s="88" t="s">
        <v>729</v>
      </c>
      <c r="E35" s="208">
        <f>(33439/9250)*2460</f>
        <v>8892.9664864864862</v>
      </c>
      <c r="F35" s="216">
        <f>'Labour cost Escalation Factor'!$J$10</f>
        <v>0.27984207704983549</v>
      </c>
      <c r="G35" s="115">
        <f t="shared" si="33"/>
        <v>11381.592699199442</v>
      </c>
      <c r="H35" s="115">
        <f t="shared" si="34"/>
        <v>11381.592699199442</v>
      </c>
      <c r="I35" s="231" t="s">
        <v>800</v>
      </c>
      <c r="J35" s="230"/>
      <c r="K35" s="230"/>
      <c r="L35" s="230"/>
      <c r="M35" s="172"/>
      <c r="N35" s="44"/>
      <c r="O35" s="44">
        <f t="shared" si="0"/>
        <v>0</v>
      </c>
      <c r="P35" s="44">
        <f t="shared" si="1"/>
        <v>0</v>
      </c>
      <c r="Q35" s="44"/>
      <c r="R35" s="44">
        <f t="shared" si="5"/>
        <v>0</v>
      </c>
      <c r="S35" s="44">
        <f t="shared" si="6"/>
        <v>0</v>
      </c>
      <c r="T35" s="44"/>
      <c r="U35" s="44">
        <f t="shared" si="7"/>
        <v>0</v>
      </c>
      <c r="V35" s="44">
        <f t="shared" si="8"/>
        <v>0</v>
      </c>
      <c r="W35" s="44"/>
      <c r="X35" s="44">
        <f t="shared" si="9"/>
        <v>0</v>
      </c>
      <c r="Y35" s="44">
        <f t="shared" si="10"/>
        <v>0</v>
      </c>
      <c r="Z35" s="44"/>
      <c r="AA35" s="44">
        <f t="shared" si="2"/>
        <v>0</v>
      </c>
      <c r="AB35" s="44">
        <f t="shared" si="11"/>
        <v>0</v>
      </c>
      <c r="AC35" s="44"/>
      <c r="AD35" s="44">
        <f t="shared" si="12"/>
        <v>0</v>
      </c>
      <c r="AE35" s="44">
        <f t="shared" si="13"/>
        <v>0</v>
      </c>
      <c r="AF35" s="44"/>
      <c r="AG35" s="44">
        <f t="shared" si="14"/>
        <v>0</v>
      </c>
      <c r="AH35" s="44">
        <f t="shared" si="15"/>
        <v>0</v>
      </c>
      <c r="AI35" s="44"/>
      <c r="AJ35" s="44">
        <f t="shared" si="16"/>
        <v>0</v>
      </c>
      <c r="AK35" s="44">
        <f t="shared" si="17"/>
        <v>0</v>
      </c>
      <c r="AL35" s="44"/>
      <c r="AM35" s="44">
        <f t="shared" si="18"/>
        <v>0</v>
      </c>
      <c r="AN35" s="44">
        <f t="shared" si="19"/>
        <v>0</v>
      </c>
      <c r="AO35" s="44"/>
      <c r="AP35" s="44">
        <f t="shared" si="20"/>
        <v>0</v>
      </c>
      <c r="AQ35" s="44">
        <f t="shared" si="21"/>
        <v>0</v>
      </c>
      <c r="AR35" s="44"/>
      <c r="AS35" s="44">
        <f t="shared" si="22"/>
        <v>0</v>
      </c>
      <c r="AT35" s="44">
        <f t="shared" si="23"/>
        <v>0</v>
      </c>
      <c r="AU35" s="44"/>
      <c r="AV35" s="44">
        <f t="shared" si="24"/>
        <v>0</v>
      </c>
      <c r="AW35" s="44">
        <f t="shared" si="25"/>
        <v>0</v>
      </c>
      <c r="AX35" s="44"/>
      <c r="AY35" s="44">
        <f t="shared" si="26"/>
        <v>0</v>
      </c>
      <c r="AZ35" s="44">
        <f t="shared" si="27"/>
        <v>0</v>
      </c>
      <c r="BA35" s="44"/>
      <c r="BB35" s="44">
        <f t="shared" si="28"/>
        <v>0</v>
      </c>
      <c r="BC35" s="44">
        <f t="shared" si="29"/>
        <v>0</v>
      </c>
      <c r="BD35" s="44"/>
      <c r="BE35" s="44">
        <f t="shared" si="3"/>
        <v>0</v>
      </c>
      <c r="BF35" s="44">
        <f t="shared" si="4"/>
        <v>0</v>
      </c>
      <c r="BG35" s="44"/>
      <c r="BH35" s="44">
        <f t="shared" si="30"/>
        <v>0</v>
      </c>
      <c r="BI35" s="44">
        <f t="shared" si="31"/>
        <v>0</v>
      </c>
    </row>
    <row r="36" spans="2:61" s="43" customFormat="1" ht="38.25" x14ac:dyDescent="0.25">
      <c r="B36" s="88">
        <v>28</v>
      </c>
      <c r="C36" s="85" t="s">
        <v>751</v>
      </c>
      <c r="D36" s="88" t="s">
        <v>729</v>
      </c>
      <c r="E36" s="208">
        <f>(33439/9250)*2000</f>
        <v>7230.0540540540533</v>
      </c>
      <c r="F36" s="216">
        <f>'Labour cost Escalation Factor'!$J$10</f>
        <v>0.27984207704983549</v>
      </c>
      <c r="G36" s="115">
        <f t="shared" si="33"/>
        <v>9253.3273977231238</v>
      </c>
      <c r="H36" s="115">
        <f t="shared" si="34"/>
        <v>9253.3273977231238</v>
      </c>
      <c r="I36" s="231" t="s">
        <v>800</v>
      </c>
      <c r="J36" s="230"/>
      <c r="K36" s="230"/>
      <c r="L36" s="230"/>
      <c r="M36" s="172"/>
      <c r="N36" s="44"/>
      <c r="O36" s="44">
        <f t="shared" si="0"/>
        <v>0</v>
      </c>
      <c r="P36" s="44">
        <f t="shared" si="1"/>
        <v>0</v>
      </c>
      <c r="Q36" s="44"/>
      <c r="R36" s="44">
        <f t="shared" si="5"/>
        <v>0</v>
      </c>
      <c r="S36" s="44">
        <f t="shared" si="6"/>
        <v>0</v>
      </c>
      <c r="T36" s="44"/>
      <c r="U36" s="44">
        <f t="shared" si="7"/>
        <v>0</v>
      </c>
      <c r="V36" s="44">
        <f t="shared" si="8"/>
        <v>0</v>
      </c>
      <c r="W36" s="44"/>
      <c r="X36" s="44">
        <f t="shared" si="9"/>
        <v>0</v>
      </c>
      <c r="Y36" s="44">
        <f t="shared" si="10"/>
        <v>0</v>
      </c>
      <c r="Z36" s="44"/>
      <c r="AA36" s="44">
        <f t="shared" si="2"/>
        <v>0</v>
      </c>
      <c r="AB36" s="44">
        <f t="shared" si="11"/>
        <v>0</v>
      </c>
      <c r="AC36" s="44"/>
      <c r="AD36" s="44">
        <f t="shared" si="12"/>
        <v>0</v>
      </c>
      <c r="AE36" s="44">
        <f t="shared" si="13"/>
        <v>0</v>
      </c>
      <c r="AF36" s="44"/>
      <c r="AG36" s="44">
        <f t="shared" si="14"/>
        <v>0</v>
      </c>
      <c r="AH36" s="44">
        <f t="shared" si="15"/>
        <v>0</v>
      </c>
      <c r="AI36" s="44"/>
      <c r="AJ36" s="44">
        <f t="shared" si="16"/>
        <v>0</v>
      </c>
      <c r="AK36" s="44">
        <f t="shared" si="17"/>
        <v>0</v>
      </c>
      <c r="AL36" s="44"/>
      <c r="AM36" s="44">
        <f t="shared" si="18"/>
        <v>0</v>
      </c>
      <c r="AN36" s="44">
        <f t="shared" si="19"/>
        <v>0</v>
      </c>
      <c r="AO36" s="44"/>
      <c r="AP36" s="44">
        <f t="shared" si="20"/>
        <v>0</v>
      </c>
      <c r="AQ36" s="44">
        <f t="shared" si="21"/>
        <v>0</v>
      </c>
      <c r="AR36" s="44"/>
      <c r="AS36" s="44">
        <f t="shared" si="22"/>
        <v>0</v>
      </c>
      <c r="AT36" s="44">
        <f t="shared" si="23"/>
        <v>0</v>
      </c>
      <c r="AU36" s="44"/>
      <c r="AV36" s="44">
        <f t="shared" si="24"/>
        <v>0</v>
      </c>
      <c r="AW36" s="44">
        <f t="shared" si="25"/>
        <v>0</v>
      </c>
      <c r="AX36" s="44"/>
      <c r="AY36" s="44">
        <f t="shared" si="26"/>
        <v>0</v>
      </c>
      <c r="AZ36" s="44">
        <f t="shared" si="27"/>
        <v>0</v>
      </c>
      <c r="BA36" s="44"/>
      <c r="BB36" s="44">
        <f t="shared" si="28"/>
        <v>0</v>
      </c>
      <c r="BC36" s="44">
        <f t="shared" si="29"/>
        <v>0</v>
      </c>
      <c r="BD36" s="44"/>
      <c r="BE36" s="44">
        <f t="shared" si="3"/>
        <v>0</v>
      </c>
      <c r="BF36" s="44">
        <f t="shared" si="4"/>
        <v>0</v>
      </c>
      <c r="BG36" s="44"/>
      <c r="BH36" s="44">
        <f t="shared" si="30"/>
        <v>0</v>
      </c>
      <c r="BI36" s="44">
        <f t="shared" si="31"/>
        <v>0</v>
      </c>
    </row>
    <row r="37" spans="2:61" s="43" customFormat="1" ht="38.25" x14ac:dyDescent="0.25">
      <c r="B37" s="88">
        <v>29</v>
      </c>
      <c r="C37" s="85" t="s">
        <v>752</v>
      </c>
      <c r="D37" s="88" t="s">
        <v>729</v>
      </c>
      <c r="E37" s="208">
        <f>(33439/9250)*1610</f>
        <v>5820.1935135135136</v>
      </c>
      <c r="F37" s="216">
        <f>'Labour cost Escalation Factor'!$J$10</f>
        <v>0.27984207704983549</v>
      </c>
      <c r="G37" s="115">
        <f t="shared" si="33"/>
        <v>7448.9285551671155</v>
      </c>
      <c r="H37" s="115">
        <f t="shared" si="34"/>
        <v>7448.9285551671155</v>
      </c>
      <c r="I37" s="231" t="s">
        <v>800</v>
      </c>
      <c r="J37" s="230"/>
      <c r="K37" s="230"/>
      <c r="L37" s="230"/>
      <c r="M37" s="172"/>
      <c r="N37" s="44"/>
      <c r="O37" s="44">
        <f t="shared" si="0"/>
        <v>0</v>
      </c>
      <c r="P37" s="44">
        <f t="shared" si="1"/>
        <v>0</v>
      </c>
      <c r="Q37" s="44"/>
      <c r="R37" s="44">
        <f t="shared" si="5"/>
        <v>0</v>
      </c>
      <c r="S37" s="44">
        <f t="shared" si="6"/>
        <v>0</v>
      </c>
      <c r="T37" s="44"/>
      <c r="U37" s="44">
        <f t="shared" si="7"/>
        <v>0</v>
      </c>
      <c r="V37" s="44">
        <f t="shared" si="8"/>
        <v>0</v>
      </c>
      <c r="W37" s="44"/>
      <c r="X37" s="44">
        <f t="shared" si="9"/>
        <v>0</v>
      </c>
      <c r="Y37" s="44">
        <f t="shared" si="10"/>
        <v>0</v>
      </c>
      <c r="Z37" s="44"/>
      <c r="AA37" s="44">
        <f t="shared" si="2"/>
        <v>0</v>
      </c>
      <c r="AB37" s="44">
        <f t="shared" si="11"/>
        <v>0</v>
      </c>
      <c r="AC37" s="44"/>
      <c r="AD37" s="44">
        <f t="shared" si="12"/>
        <v>0</v>
      </c>
      <c r="AE37" s="44">
        <f t="shared" si="13"/>
        <v>0</v>
      </c>
      <c r="AF37" s="44"/>
      <c r="AG37" s="44">
        <f t="shared" si="14"/>
        <v>0</v>
      </c>
      <c r="AH37" s="44">
        <f t="shared" si="15"/>
        <v>0</v>
      </c>
      <c r="AI37" s="44"/>
      <c r="AJ37" s="44">
        <f t="shared" si="16"/>
        <v>0</v>
      </c>
      <c r="AK37" s="44">
        <f t="shared" si="17"/>
        <v>0</v>
      </c>
      <c r="AL37" s="44"/>
      <c r="AM37" s="44">
        <f t="shared" si="18"/>
        <v>0</v>
      </c>
      <c r="AN37" s="44">
        <f t="shared" si="19"/>
        <v>0</v>
      </c>
      <c r="AO37" s="44"/>
      <c r="AP37" s="44">
        <f t="shared" si="20"/>
        <v>0</v>
      </c>
      <c r="AQ37" s="44">
        <f t="shared" si="21"/>
        <v>0</v>
      </c>
      <c r="AR37" s="44"/>
      <c r="AS37" s="44">
        <f t="shared" si="22"/>
        <v>0</v>
      </c>
      <c r="AT37" s="44">
        <f t="shared" si="23"/>
        <v>0</v>
      </c>
      <c r="AU37" s="44"/>
      <c r="AV37" s="44">
        <f t="shared" si="24"/>
        <v>0</v>
      </c>
      <c r="AW37" s="44">
        <f t="shared" si="25"/>
        <v>0</v>
      </c>
      <c r="AX37" s="44"/>
      <c r="AY37" s="44">
        <f t="shared" si="26"/>
        <v>0</v>
      </c>
      <c r="AZ37" s="44">
        <f t="shared" si="27"/>
        <v>0</v>
      </c>
      <c r="BA37" s="44"/>
      <c r="BB37" s="44">
        <f t="shared" si="28"/>
        <v>0</v>
      </c>
      <c r="BC37" s="44">
        <f t="shared" si="29"/>
        <v>0</v>
      </c>
      <c r="BD37" s="44"/>
      <c r="BE37" s="44">
        <f t="shared" si="3"/>
        <v>0</v>
      </c>
      <c r="BF37" s="44">
        <f t="shared" si="4"/>
        <v>0</v>
      </c>
      <c r="BG37" s="44"/>
      <c r="BH37" s="44">
        <f t="shared" si="30"/>
        <v>0</v>
      </c>
      <c r="BI37" s="44">
        <f t="shared" si="31"/>
        <v>0</v>
      </c>
    </row>
    <row r="38" spans="2:61" s="43" customFormat="1" ht="38.25" x14ac:dyDescent="0.25">
      <c r="B38" s="88">
        <v>30</v>
      </c>
      <c r="C38" s="85" t="s">
        <v>753</v>
      </c>
      <c r="D38" s="88" t="s">
        <v>729</v>
      </c>
      <c r="E38" s="208">
        <f>(33439/9250)*1230</f>
        <v>4446.4832432432431</v>
      </c>
      <c r="F38" s="216">
        <f>'Labour cost Escalation Factor'!$J$10</f>
        <v>0.27984207704983549</v>
      </c>
      <c r="G38" s="115">
        <f t="shared" si="33"/>
        <v>5690.796349599721</v>
      </c>
      <c r="H38" s="115">
        <f t="shared" si="34"/>
        <v>5690.796349599721</v>
      </c>
      <c r="I38" s="231" t="s">
        <v>800</v>
      </c>
      <c r="J38" s="230"/>
      <c r="K38" s="230"/>
      <c r="L38" s="230"/>
      <c r="M38" s="172"/>
      <c r="N38" s="44"/>
      <c r="O38" s="44">
        <f t="shared" si="0"/>
        <v>0</v>
      </c>
      <c r="P38" s="44">
        <f t="shared" si="1"/>
        <v>0</v>
      </c>
      <c r="Q38" s="44"/>
      <c r="R38" s="44">
        <f t="shared" si="5"/>
        <v>0</v>
      </c>
      <c r="S38" s="44">
        <f t="shared" si="6"/>
        <v>0</v>
      </c>
      <c r="T38" s="44"/>
      <c r="U38" s="44">
        <f t="shared" si="7"/>
        <v>0</v>
      </c>
      <c r="V38" s="44">
        <f t="shared" si="8"/>
        <v>0</v>
      </c>
      <c r="W38" s="44"/>
      <c r="X38" s="44">
        <f t="shared" si="9"/>
        <v>0</v>
      </c>
      <c r="Y38" s="44">
        <f t="shared" si="10"/>
        <v>0</v>
      </c>
      <c r="Z38" s="44"/>
      <c r="AA38" s="44">
        <f t="shared" si="2"/>
        <v>0</v>
      </c>
      <c r="AB38" s="44">
        <f t="shared" si="11"/>
        <v>0</v>
      </c>
      <c r="AC38" s="44"/>
      <c r="AD38" s="44">
        <f t="shared" si="12"/>
        <v>0</v>
      </c>
      <c r="AE38" s="44">
        <f t="shared" si="13"/>
        <v>0</v>
      </c>
      <c r="AF38" s="44"/>
      <c r="AG38" s="44">
        <f t="shared" si="14"/>
        <v>0</v>
      </c>
      <c r="AH38" s="44">
        <f t="shared" si="15"/>
        <v>0</v>
      </c>
      <c r="AI38" s="44"/>
      <c r="AJ38" s="44">
        <f t="shared" si="16"/>
        <v>0</v>
      </c>
      <c r="AK38" s="44">
        <f t="shared" si="17"/>
        <v>0</v>
      </c>
      <c r="AL38" s="44"/>
      <c r="AM38" s="44">
        <f t="shared" si="18"/>
        <v>0</v>
      </c>
      <c r="AN38" s="44">
        <f t="shared" si="19"/>
        <v>0</v>
      </c>
      <c r="AO38" s="44"/>
      <c r="AP38" s="44">
        <f t="shared" si="20"/>
        <v>0</v>
      </c>
      <c r="AQ38" s="44">
        <f t="shared" si="21"/>
        <v>0</v>
      </c>
      <c r="AR38" s="44"/>
      <c r="AS38" s="44">
        <f t="shared" si="22"/>
        <v>0</v>
      </c>
      <c r="AT38" s="44">
        <f t="shared" si="23"/>
        <v>0</v>
      </c>
      <c r="AU38" s="44"/>
      <c r="AV38" s="44">
        <f t="shared" si="24"/>
        <v>0</v>
      </c>
      <c r="AW38" s="44">
        <f t="shared" si="25"/>
        <v>0</v>
      </c>
      <c r="AX38" s="44"/>
      <c r="AY38" s="44">
        <f t="shared" si="26"/>
        <v>0</v>
      </c>
      <c r="AZ38" s="44">
        <f t="shared" si="27"/>
        <v>0</v>
      </c>
      <c r="BA38" s="44"/>
      <c r="BB38" s="44">
        <f t="shared" si="28"/>
        <v>0</v>
      </c>
      <c r="BC38" s="44">
        <f t="shared" si="29"/>
        <v>0</v>
      </c>
      <c r="BD38" s="44"/>
      <c r="BE38" s="44">
        <f t="shared" si="3"/>
        <v>0</v>
      </c>
      <c r="BF38" s="44">
        <f t="shared" si="4"/>
        <v>0</v>
      </c>
      <c r="BG38" s="44"/>
      <c r="BH38" s="44">
        <f t="shared" si="30"/>
        <v>0</v>
      </c>
      <c r="BI38" s="44">
        <f t="shared" si="31"/>
        <v>0</v>
      </c>
    </row>
    <row r="39" spans="2:61" s="43" customFormat="1" ht="38.25" x14ac:dyDescent="0.25">
      <c r="B39" s="88">
        <v>31</v>
      </c>
      <c r="C39" s="85" t="s">
        <v>754</v>
      </c>
      <c r="D39" s="88" t="s">
        <v>729</v>
      </c>
      <c r="E39" s="208">
        <f>(33439/9250)*1030</f>
        <v>3723.4778378378378</v>
      </c>
      <c r="F39" s="216">
        <f>'Labour cost Escalation Factor'!$J$10</f>
        <v>0.27984207704983549</v>
      </c>
      <c r="G39" s="115">
        <f t="shared" si="33"/>
        <v>4765.4636098274086</v>
      </c>
      <c r="H39" s="115">
        <f t="shared" si="34"/>
        <v>4765.4636098274086</v>
      </c>
      <c r="I39" s="231" t="s">
        <v>800</v>
      </c>
      <c r="J39" s="230"/>
      <c r="K39" s="230"/>
      <c r="L39" s="230"/>
      <c r="M39" s="172"/>
      <c r="N39" s="44"/>
      <c r="O39" s="44">
        <f t="shared" si="0"/>
        <v>0</v>
      </c>
      <c r="P39" s="44">
        <f t="shared" si="1"/>
        <v>0</v>
      </c>
      <c r="Q39" s="44"/>
      <c r="R39" s="44">
        <f t="shared" si="5"/>
        <v>0</v>
      </c>
      <c r="S39" s="44">
        <f t="shared" si="6"/>
        <v>0</v>
      </c>
      <c r="T39" s="44"/>
      <c r="U39" s="44">
        <f t="shared" si="7"/>
        <v>0</v>
      </c>
      <c r="V39" s="44">
        <f t="shared" si="8"/>
        <v>0</v>
      </c>
      <c r="W39" s="44"/>
      <c r="X39" s="44">
        <f t="shared" si="9"/>
        <v>0</v>
      </c>
      <c r="Y39" s="44">
        <f t="shared" si="10"/>
        <v>0</v>
      </c>
      <c r="Z39" s="44"/>
      <c r="AA39" s="44">
        <f t="shared" si="2"/>
        <v>0</v>
      </c>
      <c r="AB39" s="44">
        <f t="shared" si="11"/>
        <v>0</v>
      </c>
      <c r="AC39" s="44"/>
      <c r="AD39" s="44">
        <f t="shared" si="12"/>
        <v>0</v>
      </c>
      <c r="AE39" s="44">
        <f t="shared" si="13"/>
        <v>0</v>
      </c>
      <c r="AF39" s="44"/>
      <c r="AG39" s="44">
        <f t="shared" si="14"/>
        <v>0</v>
      </c>
      <c r="AH39" s="44">
        <f t="shared" si="15"/>
        <v>0</v>
      </c>
      <c r="AI39" s="44"/>
      <c r="AJ39" s="44">
        <f t="shared" si="16"/>
        <v>0</v>
      </c>
      <c r="AK39" s="44">
        <f t="shared" si="17"/>
        <v>0</v>
      </c>
      <c r="AL39" s="44"/>
      <c r="AM39" s="44">
        <f t="shared" si="18"/>
        <v>0</v>
      </c>
      <c r="AN39" s="44">
        <f t="shared" si="19"/>
        <v>0</v>
      </c>
      <c r="AO39" s="44"/>
      <c r="AP39" s="44">
        <f t="shared" si="20"/>
        <v>0</v>
      </c>
      <c r="AQ39" s="44">
        <f t="shared" si="21"/>
        <v>0</v>
      </c>
      <c r="AR39" s="44"/>
      <c r="AS39" s="44">
        <f t="shared" si="22"/>
        <v>0</v>
      </c>
      <c r="AT39" s="44">
        <f t="shared" si="23"/>
        <v>0</v>
      </c>
      <c r="AU39" s="44"/>
      <c r="AV39" s="44">
        <f t="shared" si="24"/>
        <v>0</v>
      </c>
      <c r="AW39" s="44">
        <f t="shared" si="25"/>
        <v>0</v>
      </c>
      <c r="AX39" s="44"/>
      <c r="AY39" s="44">
        <f t="shared" si="26"/>
        <v>0</v>
      </c>
      <c r="AZ39" s="44">
        <f t="shared" si="27"/>
        <v>0</v>
      </c>
      <c r="BA39" s="44"/>
      <c r="BB39" s="44">
        <f t="shared" si="28"/>
        <v>0</v>
      </c>
      <c r="BC39" s="44">
        <f t="shared" si="29"/>
        <v>0</v>
      </c>
      <c r="BD39" s="44"/>
      <c r="BE39" s="44">
        <f t="shared" si="3"/>
        <v>0</v>
      </c>
      <c r="BF39" s="44">
        <f t="shared" si="4"/>
        <v>0</v>
      </c>
      <c r="BG39" s="44"/>
      <c r="BH39" s="44">
        <f t="shared" si="30"/>
        <v>0</v>
      </c>
      <c r="BI39" s="44">
        <f t="shared" si="31"/>
        <v>0</v>
      </c>
    </row>
    <row r="40" spans="2:61" s="43" customFormat="1" ht="38.25" x14ac:dyDescent="0.25">
      <c r="B40" s="88">
        <v>32</v>
      </c>
      <c r="C40" s="85" t="s">
        <v>755</v>
      </c>
      <c r="D40" s="88" t="s">
        <v>729</v>
      </c>
      <c r="E40" s="208">
        <f>(33439/9250)*870</f>
        <v>3145.0735135135133</v>
      </c>
      <c r="F40" s="216">
        <f>'Labour cost Escalation Factor'!$J$10</f>
        <v>0.27984207704983549</v>
      </c>
      <c r="G40" s="115">
        <f t="shared" si="33"/>
        <v>4025.197418009559</v>
      </c>
      <c r="H40" s="115">
        <f t="shared" si="34"/>
        <v>4025.197418009559</v>
      </c>
      <c r="I40" s="231" t="s">
        <v>800</v>
      </c>
      <c r="J40" s="230"/>
      <c r="K40" s="230"/>
      <c r="L40" s="230"/>
      <c r="M40" s="172"/>
      <c r="N40" s="44"/>
      <c r="O40" s="44">
        <f t="shared" si="0"/>
        <v>0</v>
      </c>
      <c r="P40" s="44">
        <f t="shared" si="1"/>
        <v>0</v>
      </c>
      <c r="Q40" s="44"/>
      <c r="R40" s="44">
        <f t="shared" si="5"/>
        <v>0</v>
      </c>
      <c r="S40" s="44">
        <f t="shared" si="6"/>
        <v>0</v>
      </c>
      <c r="T40" s="44"/>
      <c r="U40" s="44">
        <f t="shared" si="7"/>
        <v>0</v>
      </c>
      <c r="V40" s="44">
        <f t="shared" si="8"/>
        <v>0</v>
      </c>
      <c r="W40" s="44"/>
      <c r="X40" s="44">
        <f t="shared" si="9"/>
        <v>0</v>
      </c>
      <c r="Y40" s="44">
        <f t="shared" si="10"/>
        <v>0</v>
      </c>
      <c r="Z40" s="44"/>
      <c r="AA40" s="44">
        <f t="shared" si="2"/>
        <v>0</v>
      </c>
      <c r="AB40" s="44">
        <f t="shared" si="11"/>
        <v>0</v>
      </c>
      <c r="AC40" s="44"/>
      <c r="AD40" s="44">
        <f t="shared" si="12"/>
        <v>0</v>
      </c>
      <c r="AE40" s="44">
        <f t="shared" si="13"/>
        <v>0</v>
      </c>
      <c r="AF40" s="44"/>
      <c r="AG40" s="44">
        <f t="shared" si="14"/>
        <v>0</v>
      </c>
      <c r="AH40" s="44">
        <f t="shared" si="15"/>
        <v>0</v>
      </c>
      <c r="AI40" s="44"/>
      <c r="AJ40" s="44">
        <f t="shared" si="16"/>
        <v>0</v>
      </c>
      <c r="AK40" s="44">
        <f t="shared" si="17"/>
        <v>0</v>
      </c>
      <c r="AL40" s="44"/>
      <c r="AM40" s="44">
        <f t="shared" si="18"/>
        <v>0</v>
      </c>
      <c r="AN40" s="44">
        <f t="shared" si="19"/>
        <v>0</v>
      </c>
      <c r="AO40" s="44"/>
      <c r="AP40" s="44">
        <f t="shared" si="20"/>
        <v>0</v>
      </c>
      <c r="AQ40" s="44">
        <f t="shared" si="21"/>
        <v>0</v>
      </c>
      <c r="AR40" s="44"/>
      <c r="AS40" s="44">
        <f t="shared" si="22"/>
        <v>0</v>
      </c>
      <c r="AT40" s="44">
        <f t="shared" si="23"/>
        <v>0</v>
      </c>
      <c r="AU40" s="44"/>
      <c r="AV40" s="44">
        <f t="shared" si="24"/>
        <v>0</v>
      </c>
      <c r="AW40" s="44">
        <f t="shared" si="25"/>
        <v>0</v>
      </c>
      <c r="AX40" s="44"/>
      <c r="AY40" s="44">
        <f t="shared" si="26"/>
        <v>0</v>
      </c>
      <c r="AZ40" s="44">
        <f t="shared" si="27"/>
        <v>0</v>
      </c>
      <c r="BA40" s="44"/>
      <c r="BB40" s="44">
        <f t="shared" si="28"/>
        <v>0</v>
      </c>
      <c r="BC40" s="44">
        <f t="shared" si="29"/>
        <v>0</v>
      </c>
      <c r="BD40" s="44"/>
      <c r="BE40" s="44">
        <f t="shared" si="3"/>
        <v>0</v>
      </c>
      <c r="BF40" s="44">
        <f t="shared" si="4"/>
        <v>0</v>
      </c>
      <c r="BG40" s="44"/>
      <c r="BH40" s="44">
        <f t="shared" si="30"/>
        <v>0</v>
      </c>
      <c r="BI40" s="44">
        <f t="shared" si="31"/>
        <v>0</v>
      </c>
    </row>
    <row r="41" spans="2:61" s="43" customFormat="1" ht="25.5" x14ac:dyDescent="0.25">
      <c r="B41" s="88">
        <v>33</v>
      </c>
      <c r="C41" s="85" t="s">
        <v>153</v>
      </c>
      <c r="D41" s="88" t="s">
        <v>152</v>
      </c>
      <c r="E41" s="208">
        <v>1500</v>
      </c>
      <c r="F41" s="216">
        <f>'Labour cost Escalation Factor'!$J$10</f>
        <v>0.27984207704983549</v>
      </c>
      <c r="G41" s="115">
        <f t="shared" ref="G41" si="35">E41*(1+F41)</f>
        <v>1919.7631155747533</v>
      </c>
      <c r="H41" s="115">
        <f t="shared" ref="H41" si="36">G41</f>
        <v>1919.7631155747533</v>
      </c>
      <c r="I41" s="209" t="s">
        <v>763</v>
      </c>
      <c r="J41" s="230"/>
      <c r="K41" s="230"/>
      <c r="L41" s="230"/>
      <c r="M41" s="172"/>
      <c r="N41" s="44"/>
      <c r="O41" s="44">
        <f t="shared" si="0"/>
        <v>0</v>
      </c>
      <c r="P41" s="44">
        <f t="shared" si="1"/>
        <v>0</v>
      </c>
      <c r="Q41" s="44"/>
      <c r="R41" s="44">
        <f t="shared" si="5"/>
        <v>0</v>
      </c>
      <c r="S41" s="44">
        <f t="shared" si="6"/>
        <v>0</v>
      </c>
      <c r="T41" s="44"/>
      <c r="U41" s="44">
        <f t="shared" si="7"/>
        <v>0</v>
      </c>
      <c r="V41" s="44">
        <f t="shared" si="8"/>
        <v>0</v>
      </c>
      <c r="W41" s="44"/>
      <c r="X41" s="44">
        <f t="shared" si="9"/>
        <v>0</v>
      </c>
      <c r="Y41" s="44">
        <f t="shared" si="10"/>
        <v>0</v>
      </c>
      <c r="Z41" s="44"/>
      <c r="AA41" s="44">
        <f t="shared" si="2"/>
        <v>0</v>
      </c>
      <c r="AB41" s="44">
        <f t="shared" si="11"/>
        <v>0</v>
      </c>
      <c r="AC41" s="44"/>
      <c r="AD41" s="44">
        <f t="shared" si="12"/>
        <v>0</v>
      </c>
      <c r="AE41" s="44">
        <f t="shared" si="13"/>
        <v>0</v>
      </c>
      <c r="AF41" s="44"/>
      <c r="AG41" s="44">
        <f t="shared" si="14"/>
        <v>0</v>
      </c>
      <c r="AH41" s="44">
        <f t="shared" si="15"/>
        <v>0</v>
      </c>
      <c r="AI41" s="44"/>
      <c r="AJ41" s="44">
        <f t="shared" si="16"/>
        <v>0</v>
      </c>
      <c r="AK41" s="44">
        <f t="shared" si="17"/>
        <v>0</v>
      </c>
      <c r="AL41" s="44">
        <v>4</v>
      </c>
      <c r="AM41" s="44">
        <f t="shared" si="18"/>
        <v>7679.0524622990133</v>
      </c>
      <c r="AN41" s="44">
        <f t="shared" si="19"/>
        <v>7679.0524622990133</v>
      </c>
      <c r="AO41" s="44"/>
      <c r="AP41" s="44">
        <f t="shared" si="20"/>
        <v>0</v>
      </c>
      <c r="AQ41" s="44">
        <f t="shared" si="21"/>
        <v>0</v>
      </c>
      <c r="AR41" s="44"/>
      <c r="AS41" s="44">
        <f t="shared" si="22"/>
        <v>0</v>
      </c>
      <c r="AT41" s="44">
        <f t="shared" si="23"/>
        <v>0</v>
      </c>
      <c r="AU41" s="44">
        <v>4</v>
      </c>
      <c r="AV41" s="44">
        <f t="shared" si="24"/>
        <v>7679.0524622990133</v>
      </c>
      <c r="AW41" s="44">
        <f t="shared" si="25"/>
        <v>7679.0524622990133</v>
      </c>
      <c r="AX41" s="44"/>
      <c r="AY41" s="44">
        <f t="shared" si="26"/>
        <v>0</v>
      </c>
      <c r="AZ41" s="44">
        <f t="shared" si="27"/>
        <v>0</v>
      </c>
      <c r="BA41" s="44"/>
      <c r="BB41" s="44">
        <f t="shared" si="28"/>
        <v>0</v>
      </c>
      <c r="BC41" s="44">
        <f t="shared" si="29"/>
        <v>0</v>
      </c>
      <c r="BD41" s="44"/>
      <c r="BE41" s="44">
        <f t="shared" si="3"/>
        <v>0</v>
      </c>
      <c r="BF41" s="44">
        <f t="shared" si="4"/>
        <v>0</v>
      </c>
      <c r="BG41" s="44"/>
      <c r="BH41" s="44">
        <f t="shared" si="30"/>
        <v>0</v>
      </c>
      <c r="BI41" s="44">
        <f t="shared" si="31"/>
        <v>0</v>
      </c>
    </row>
    <row r="42" spans="2:61" s="43" customFormat="1" ht="25.5" x14ac:dyDescent="0.25">
      <c r="B42" s="88">
        <v>34</v>
      </c>
      <c r="C42" s="85" t="s">
        <v>801</v>
      </c>
      <c r="D42" s="88" t="s">
        <v>152</v>
      </c>
      <c r="E42" s="208">
        <v>1500</v>
      </c>
      <c r="F42" s="216">
        <f>'Labour cost Escalation Factor'!$J$10</f>
        <v>0.27984207704983549</v>
      </c>
      <c r="G42" s="115">
        <f t="shared" ref="G42" si="37">E42*(1+F42)</f>
        <v>1919.7631155747533</v>
      </c>
      <c r="H42" s="115">
        <f t="shared" ref="H42" si="38">G42</f>
        <v>1919.7631155747533</v>
      </c>
      <c r="I42" s="209" t="s">
        <v>763</v>
      </c>
      <c r="J42" s="230"/>
      <c r="K42" s="230"/>
      <c r="L42" s="230"/>
      <c r="M42" s="172"/>
      <c r="N42" s="44">
        <v>4</v>
      </c>
      <c r="O42" s="44">
        <f t="shared" si="0"/>
        <v>7679.0524622990133</v>
      </c>
      <c r="P42" s="44">
        <f t="shared" si="1"/>
        <v>7679.0524622990133</v>
      </c>
      <c r="Q42" s="44">
        <v>4</v>
      </c>
      <c r="R42" s="44">
        <f t="shared" si="5"/>
        <v>7679.0524622990133</v>
      </c>
      <c r="S42" s="44">
        <f t="shared" si="6"/>
        <v>7679.0524622990133</v>
      </c>
      <c r="T42" s="44">
        <v>4</v>
      </c>
      <c r="U42" s="44">
        <f t="shared" si="7"/>
        <v>7679.0524622990133</v>
      </c>
      <c r="V42" s="44">
        <f t="shared" si="8"/>
        <v>7679.0524622990133</v>
      </c>
      <c r="W42" s="44">
        <v>4</v>
      </c>
      <c r="X42" s="44">
        <f t="shared" si="9"/>
        <v>7679.0524622990133</v>
      </c>
      <c r="Y42" s="44">
        <f t="shared" si="10"/>
        <v>7679.0524622990133</v>
      </c>
      <c r="Z42" s="44">
        <v>8</v>
      </c>
      <c r="AA42" s="44">
        <f t="shared" si="2"/>
        <v>15358.104924598027</v>
      </c>
      <c r="AB42" s="44">
        <f t="shared" si="11"/>
        <v>15358.104924598027</v>
      </c>
      <c r="AC42" s="44">
        <v>4</v>
      </c>
      <c r="AD42" s="44">
        <f t="shared" si="12"/>
        <v>7679.0524622990133</v>
      </c>
      <c r="AE42" s="44">
        <f t="shared" si="13"/>
        <v>7679.0524622990133</v>
      </c>
      <c r="AF42" s="44">
        <v>4</v>
      </c>
      <c r="AG42" s="44">
        <f t="shared" si="14"/>
        <v>7679.0524622990133</v>
      </c>
      <c r="AH42" s="44">
        <f t="shared" si="15"/>
        <v>7679.0524622990133</v>
      </c>
      <c r="AI42" s="44">
        <v>4</v>
      </c>
      <c r="AJ42" s="44">
        <f t="shared" si="16"/>
        <v>7679.0524622990133</v>
      </c>
      <c r="AK42" s="44">
        <f t="shared" si="17"/>
        <v>7679.0524622990133</v>
      </c>
      <c r="AL42" s="44"/>
      <c r="AM42" s="44">
        <f t="shared" si="18"/>
        <v>0</v>
      </c>
      <c r="AN42" s="44">
        <f t="shared" si="19"/>
        <v>0</v>
      </c>
      <c r="AO42" s="44">
        <v>4</v>
      </c>
      <c r="AP42" s="44">
        <f t="shared" si="20"/>
        <v>7679.0524622990133</v>
      </c>
      <c r="AQ42" s="44">
        <f t="shared" si="21"/>
        <v>7679.0524622990133</v>
      </c>
      <c r="AR42" s="44">
        <v>4</v>
      </c>
      <c r="AS42" s="44">
        <f t="shared" si="22"/>
        <v>7679.0524622990133</v>
      </c>
      <c r="AT42" s="44">
        <f t="shared" si="23"/>
        <v>7679.0524622990133</v>
      </c>
      <c r="AU42" s="44"/>
      <c r="AV42" s="44">
        <f t="shared" si="24"/>
        <v>0</v>
      </c>
      <c r="AW42" s="44">
        <f t="shared" si="25"/>
        <v>0</v>
      </c>
      <c r="AX42" s="44">
        <v>4</v>
      </c>
      <c r="AY42" s="44">
        <f t="shared" si="26"/>
        <v>7679.0524622990133</v>
      </c>
      <c r="AZ42" s="44">
        <f t="shared" si="27"/>
        <v>7679.0524622990133</v>
      </c>
      <c r="BA42" s="44">
        <v>4</v>
      </c>
      <c r="BB42" s="44">
        <f t="shared" si="28"/>
        <v>7679.0524622990133</v>
      </c>
      <c r="BC42" s="44">
        <f t="shared" si="29"/>
        <v>7679.0524622990133</v>
      </c>
      <c r="BD42" s="44">
        <v>4</v>
      </c>
      <c r="BE42" s="44">
        <f t="shared" si="3"/>
        <v>7679.0524622990133</v>
      </c>
      <c r="BF42" s="44">
        <f t="shared" si="4"/>
        <v>7679.0524622990133</v>
      </c>
      <c r="BG42" s="44">
        <v>4</v>
      </c>
      <c r="BH42" s="44">
        <f t="shared" si="30"/>
        <v>7679.0524622990133</v>
      </c>
      <c r="BI42" s="44">
        <f t="shared" si="31"/>
        <v>7679.0524622990133</v>
      </c>
    </row>
    <row r="43" spans="2:61" s="43" customFormat="1" ht="51" x14ac:dyDescent="0.25">
      <c r="B43" s="88">
        <v>35</v>
      </c>
      <c r="C43" s="85" t="s">
        <v>802</v>
      </c>
      <c r="D43" s="88" t="s">
        <v>152</v>
      </c>
      <c r="E43" s="208">
        <f>(E42/7600)*4400</f>
        <v>868.42105263157896</v>
      </c>
      <c r="F43" s="216">
        <f>'Labour cost Escalation Factor'!$J$10</f>
        <v>0.27984207704983549</v>
      </c>
      <c r="G43" s="115">
        <f t="shared" ref="G43:G45" si="39">E43*(1+F43)</f>
        <v>1111.4418037538046</v>
      </c>
      <c r="H43" s="115">
        <f t="shared" ref="H43:H45" si="40">G43</f>
        <v>1111.4418037538046</v>
      </c>
      <c r="I43" s="231" t="s">
        <v>803</v>
      </c>
      <c r="J43" s="230"/>
      <c r="K43" s="230"/>
      <c r="L43" s="230"/>
      <c r="M43" s="172"/>
      <c r="N43" s="44"/>
      <c r="O43" s="44">
        <f t="shared" si="0"/>
        <v>0</v>
      </c>
      <c r="P43" s="44">
        <f t="shared" si="1"/>
        <v>0</v>
      </c>
      <c r="Q43" s="44"/>
      <c r="R43" s="44">
        <f t="shared" si="5"/>
        <v>0</v>
      </c>
      <c r="S43" s="44">
        <f t="shared" si="6"/>
        <v>0</v>
      </c>
      <c r="T43" s="44"/>
      <c r="U43" s="44">
        <f t="shared" si="7"/>
        <v>0</v>
      </c>
      <c r="V43" s="44">
        <f t="shared" si="8"/>
        <v>0</v>
      </c>
      <c r="W43" s="44"/>
      <c r="X43" s="44">
        <f t="shared" si="9"/>
        <v>0</v>
      </c>
      <c r="Y43" s="44">
        <f t="shared" si="10"/>
        <v>0</v>
      </c>
      <c r="Z43" s="44"/>
      <c r="AA43" s="44">
        <f t="shared" si="2"/>
        <v>0</v>
      </c>
      <c r="AB43" s="44">
        <f t="shared" si="11"/>
        <v>0</v>
      </c>
      <c r="AC43" s="44"/>
      <c r="AD43" s="44">
        <f t="shared" si="12"/>
        <v>0</v>
      </c>
      <c r="AE43" s="44">
        <f t="shared" si="13"/>
        <v>0</v>
      </c>
      <c r="AF43" s="44"/>
      <c r="AG43" s="44">
        <f t="shared" si="14"/>
        <v>0</v>
      </c>
      <c r="AH43" s="44">
        <f t="shared" si="15"/>
        <v>0</v>
      </c>
      <c r="AI43" s="44"/>
      <c r="AJ43" s="44">
        <f t="shared" si="16"/>
        <v>0</v>
      </c>
      <c r="AK43" s="44">
        <f t="shared" si="17"/>
        <v>0</v>
      </c>
      <c r="AL43" s="44"/>
      <c r="AM43" s="44">
        <f t="shared" si="18"/>
        <v>0</v>
      </c>
      <c r="AN43" s="44">
        <f t="shared" si="19"/>
        <v>0</v>
      </c>
      <c r="AO43" s="44"/>
      <c r="AP43" s="44">
        <f t="shared" si="20"/>
        <v>0</v>
      </c>
      <c r="AQ43" s="44">
        <f t="shared" si="21"/>
        <v>0</v>
      </c>
      <c r="AR43" s="44"/>
      <c r="AS43" s="44">
        <f t="shared" si="22"/>
        <v>0</v>
      </c>
      <c r="AT43" s="44">
        <f t="shared" si="23"/>
        <v>0</v>
      </c>
      <c r="AU43" s="44"/>
      <c r="AV43" s="44">
        <f t="shared" si="24"/>
        <v>0</v>
      </c>
      <c r="AW43" s="44">
        <f t="shared" si="25"/>
        <v>0</v>
      </c>
      <c r="AX43" s="44"/>
      <c r="AY43" s="44">
        <f t="shared" si="26"/>
        <v>0</v>
      </c>
      <c r="AZ43" s="44">
        <f t="shared" si="27"/>
        <v>0</v>
      </c>
      <c r="BA43" s="44"/>
      <c r="BB43" s="44">
        <f t="shared" si="28"/>
        <v>0</v>
      </c>
      <c r="BC43" s="44">
        <f t="shared" si="29"/>
        <v>0</v>
      </c>
      <c r="BD43" s="44"/>
      <c r="BE43" s="44">
        <f t="shared" si="3"/>
        <v>0</v>
      </c>
      <c r="BF43" s="44">
        <f t="shared" si="4"/>
        <v>0</v>
      </c>
      <c r="BG43" s="44"/>
      <c r="BH43" s="44">
        <f t="shared" si="30"/>
        <v>0</v>
      </c>
      <c r="BI43" s="44">
        <f t="shared" si="31"/>
        <v>0</v>
      </c>
    </row>
    <row r="44" spans="2:61" s="43" customFormat="1" ht="25.5" x14ac:dyDescent="0.25">
      <c r="B44" s="88">
        <v>36</v>
      </c>
      <c r="C44" s="85" t="s">
        <v>757</v>
      </c>
      <c r="D44" s="88" t="s">
        <v>152</v>
      </c>
      <c r="E44" s="208">
        <v>1375</v>
      </c>
      <c r="F44" s="216">
        <f>'Labour cost Escalation Factor'!$J$10</f>
        <v>0.27984207704983549</v>
      </c>
      <c r="G44" s="115">
        <f t="shared" si="39"/>
        <v>1759.7828559435238</v>
      </c>
      <c r="H44" s="115">
        <f t="shared" si="40"/>
        <v>1759.7828559435238</v>
      </c>
      <c r="I44" s="209" t="s">
        <v>763</v>
      </c>
      <c r="J44" s="230"/>
      <c r="K44" s="230"/>
      <c r="L44" s="230"/>
      <c r="M44" s="172"/>
      <c r="N44" s="44">
        <v>2</v>
      </c>
      <c r="O44" s="44">
        <f t="shared" si="0"/>
        <v>3519.5657118870477</v>
      </c>
      <c r="P44" s="44">
        <f t="shared" si="1"/>
        <v>3519.5657118870477</v>
      </c>
      <c r="Q44" s="44">
        <v>2</v>
      </c>
      <c r="R44" s="44">
        <f t="shared" si="5"/>
        <v>3519.5657118870477</v>
      </c>
      <c r="S44" s="44">
        <f t="shared" si="6"/>
        <v>3519.5657118870477</v>
      </c>
      <c r="T44" s="44">
        <v>2</v>
      </c>
      <c r="U44" s="44">
        <f t="shared" si="7"/>
        <v>3519.5657118870477</v>
      </c>
      <c r="V44" s="44">
        <f t="shared" si="8"/>
        <v>3519.5657118870477</v>
      </c>
      <c r="W44" s="44">
        <v>2</v>
      </c>
      <c r="X44" s="44">
        <f t="shared" si="9"/>
        <v>3519.5657118870477</v>
      </c>
      <c r="Y44" s="44">
        <f t="shared" si="10"/>
        <v>3519.5657118870477</v>
      </c>
      <c r="Z44" s="44">
        <v>4</v>
      </c>
      <c r="AA44" s="44">
        <f t="shared" si="2"/>
        <v>7039.1314237740953</v>
      </c>
      <c r="AB44" s="44">
        <f t="shared" si="11"/>
        <v>7039.1314237740953</v>
      </c>
      <c r="AC44" s="44">
        <v>2</v>
      </c>
      <c r="AD44" s="44">
        <f t="shared" si="12"/>
        <v>3519.5657118870477</v>
      </c>
      <c r="AE44" s="44">
        <f t="shared" si="13"/>
        <v>3519.5657118870477</v>
      </c>
      <c r="AF44" s="44">
        <v>2</v>
      </c>
      <c r="AG44" s="44">
        <f t="shared" si="14"/>
        <v>3519.5657118870477</v>
      </c>
      <c r="AH44" s="44">
        <f t="shared" si="15"/>
        <v>3519.5657118870477</v>
      </c>
      <c r="AI44" s="44">
        <v>2</v>
      </c>
      <c r="AJ44" s="44">
        <f t="shared" si="16"/>
        <v>3519.5657118870477</v>
      </c>
      <c r="AK44" s="44">
        <f t="shared" si="17"/>
        <v>3519.5657118870477</v>
      </c>
      <c r="AL44" s="44">
        <v>2</v>
      </c>
      <c r="AM44" s="44">
        <f t="shared" si="18"/>
        <v>3519.5657118870477</v>
      </c>
      <c r="AN44" s="44">
        <f t="shared" si="19"/>
        <v>3519.5657118870477</v>
      </c>
      <c r="AO44" s="44">
        <v>2</v>
      </c>
      <c r="AP44" s="44">
        <f t="shared" si="20"/>
        <v>3519.5657118870477</v>
      </c>
      <c r="AQ44" s="44">
        <f t="shared" si="21"/>
        <v>3519.5657118870477</v>
      </c>
      <c r="AR44" s="44">
        <v>2</v>
      </c>
      <c r="AS44" s="44">
        <f t="shared" si="22"/>
        <v>3519.5657118870477</v>
      </c>
      <c r="AT44" s="44">
        <f t="shared" si="23"/>
        <v>3519.5657118870477</v>
      </c>
      <c r="AU44" s="44">
        <v>2</v>
      </c>
      <c r="AV44" s="44">
        <f t="shared" si="24"/>
        <v>3519.5657118870477</v>
      </c>
      <c r="AW44" s="44">
        <f t="shared" si="25"/>
        <v>3519.5657118870477</v>
      </c>
      <c r="AX44" s="44">
        <v>2</v>
      </c>
      <c r="AY44" s="44">
        <f t="shared" si="26"/>
        <v>3519.5657118870477</v>
      </c>
      <c r="AZ44" s="44">
        <f t="shared" si="27"/>
        <v>3519.5657118870477</v>
      </c>
      <c r="BA44" s="44">
        <v>2</v>
      </c>
      <c r="BB44" s="44">
        <f t="shared" si="28"/>
        <v>3519.5657118870477</v>
      </c>
      <c r="BC44" s="44">
        <f t="shared" si="29"/>
        <v>3519.5657118870477</v>
      </c>
      <c r="BD44" s="44">
        <v>2</v>
      </c>
      <c r="BE44" s="44">
        <f t="shared" si="3"/>
        <v>3519.5657118870477</v>
      </c>
      <c r="BF44" s="44">
        <f t="shared" si="4"/>
        <v>3519.5657118870477</v>
      </c>
      <c r="BG44" s="44">
        <v>2</v>
      </c>
      <c r="BH44" s="44">
        <f t="shared" si="30"/>
        <v>3519.5657118870477</v>
      </c>
      <c r="BI44" s="44">
        <f t="shared" si="31"/>
        <v>3519.5657118870477</v>
      </c>
    </row>
    <row r="45" spans="2:61" s="43" customFormat="1" ht="63.75" x14ac:dyDescent="0.25">
      <c r="B45" s="88">
        <v>37</v>
      </c>
      <c r="C45" s="85" t="s">
        <v>758</v>
      </c>
      <c r="D45" s="88" t="s">
        <v>152</v>
      </c>
      <c r="E45" s="208">
        <f>(E44/7600)*4400</f>
        <v>796.0526315789474</v>
      </c>
      <c r="F45" s="216">
        <f>'Labour cost Escalation Factor'!$J$10</f>
        <v>0.27984207704983549</v>
      </c>
      <c r="G45" s="115">
        <f t="shared" si="39"/>
        <v>1018.8216534409876</v>
      </c>
      <c r="H45" s="115">
        <f t="shared" si="40"/>
        <v>1018.8216534409876</v>
      </c>
      <c r="I45" s="231" t="s">
        <v>804</v>
      </c>
      <c r="J45" s="230"/>
      <c r="K45" s="230"/>
      <c r="L45" s="230"/>
      <c r="M45" s="172"/>
      <c r="N45" s="44"/>
      <c r="O45" s="44">
        <f t="shared" si="0"/>
        <v>0</v>
      </c>
      <c r="P45" s="44">
        <f t="shared" si="1"/>
        <v>0</v>
      </c>
      <c r="Q45" s="44"/>
      <c r="R45" s="44">
        <f t="shared" si="5"/>
        <v>0</v>
      </c>
      <c r="S45" s="44">
        <f t="shared" si="6"/>
        <v>0</v>
      </c>
      <c r="T45" s="44"/>
      <c r="U45" s="44">
        <f t="shared" si="7"/>
        <v>0</v>
      </c>
      <c r="V45" s="44">
        <f t="shared" si="8"/>
        <v>0</v>
      </c>
      <c r="W45" s="44"/>
      <c r="X45" s="44">
        <f t="shared" si="9"/>
        <v>0</v>
      </c>
      <c r="Y45" s="44">
        <f t="shared" si="10"/>
        <v>0</v>
      </c>
      <c r="Z45" s="44"/>
      <c r="AA45" s="44">
        <f t="shared" si="2"/>
        <v>0</v>
      </c>
      <c r="AB45" s="44">
        <f t="shared" si="11"/>
        <v>0</v>
      </c>
      <c r="AC45" s="44"/>
      <c r="AD45" s="44">
        <f t="shared" si="12"/>
        <v>0</v>
      </c>
      <c r="AE45" s="44">
        <f t="shared" si="13"/>
        <v>0</v>
      </c>
      <c r="AF45" s="44"/>
      <c r="AG45" s="44">
        <f t="shared" si="14"/>
        <v>0</v>
      </c>
      <c r="AH45" s="44">
        <f t="shared" si="15"/>
        <v>0</v>
      </c>
      <c r="AI45" s="44"/>
      <c r="AJ45" s="44">
        <f t="shared" si="16"/>
        <v>0</v>
      </c>
      <c r="AK45" s="44">
        <f t="shared" si="17"/>
        <v>0</v>
      </c>
      <c r="AL45" s="44"/>
      <c r="AM45" s="44">
        <f t="shared" si="18"/>
        <v>0</v>
      </c>
      <c r="AN45" s="44">
        <f t="shared" si="19"/>
        <v>0</v>
      </c>
      <c r="AO45" s="44"/>
      <c r="AP45" s="44">
        <f t="shared" si="20"/>
        <v>0</v>
      </c>
      <c r="AQ45" s="44">
        <f t="shared" si="21"/>
        <v>0</v>
      </c>
      <c r="AR45" s="44"/>
      <c r="AS45" s="44">
        <f t="shared" si="22"/>
        <v>0</v>
      </c>
      <c r="AT45" s="44">
        <f t="shared" si="23"/>
        <v>0</v>
      </c>
      <c r="AU45" s="44"/>
      <c r="AV45" s="44">
        <f t="shared" si="24"/>
        <v>0</v>
      </c>
      <c r="AW45" s="44">
        <f t="shared" si="25"/>
        <v>0</v>
      </c>
      <c r="AX45" s="44"/>
      <c r="AY45" s="44">
        <f t="shared" si="26"/>
        <v>0</v>
      </c>
      <c r="AZ45" s="44">
        <f t="shared" si="27"/>
        <v>0</v>
      </c>
      <c r="BA45" s="44"/>
      <c r="BB45" s="44">
        <f t="shared" si="28"/>
        <v>0</v>
      </c>
      <c r="BC45" s="44">
        <f t="shared" si="29"/>
        <v>0</v>
      </c>
      <c r="BD45" s="44"/>
      <c r="BE45" s="44">
        <f t="shared" si="3"/>
        <v>0</v>
      </c>
      <c r="BF45" s="44">
        <f t="shared" si="4"/>
        <v>0</v>
      </c>
      <c r="BG45" s="44"/>
      <c r="BH45" s="44">
        <f t="shared" si="30"/>
        <v>0</v>
      </c>
      <c r="BI45" s="44">
        <f t="shared" si="31"/>
        <v>0</v>
      </c>
    </row>
    <row r="46" spans="2:61" s="7" customFormat="1" ht="15" x14ac:dyDescent="0.25">
      <c r="B46" s="88">
        <v>38</v>
      </c>
      <c r="C46" s="85" t="s">
        <v>533</v>
      </c>
      <c r="D46" s="88" t="s">
        <v>157</v>
      </c>
      <c r="E46" s="88" t="s">
        <v>90</v>
      </c>
      <c r="F46" s="88"/>
      <c r="G46" s="115">
        <v>20</v>
      </c>
      <c r="H46" s="115">
        <f t="shared" ref="H46:H48" si="41">G46</f>
        <v>20</v>
      </c>
      <c r="I46" s="429" t="s">
        <v>805</v>
      </c>
      <c r="J46" s="230"/>
      <c r="K46" s="230"/>
      <c r="L46" s="230"/>
      <c r="M46" s="172"/>
      <c r="N46" s="44"/>
      <c r="O46" s="44">
        <f t="shared" si="0"/>
        <v>0</v>
      </c>
      <c r="P46" s="44">
        <f t="shared" si="1"/>
        <v>0</v>
      </c>
      <c r="Q46" s="44"/>
      <c r="R46" s="44">
        <f t="shared" si="5"/>
        <v>0</v>
      </c>
      <c r="S46" s="44">
        <f t="shared" si="6"/>
        <v>0</v>
      </c>
      <c r="T46" s="44"/>
      <c r="U46" s="44">
        <f t="shared" si="7"/>
        <v>0</v>
      </c>
      <c r="V46" s="44">
        <f t="shared" si="8"/>
        <v>0</v>
      </c>
      <c r="W46" s="44"/>
      <c r="X46" s="44">
        <f t="shared" si="9"/>
        <v>0</v>
      </c>
      <c r="Y46" s="44">
        <f t="shared" si="10"/>
        <v>0</v>
      </c>
      <c r="Z46" s="44">
        <v>1000</v>
      </c>
      <c r="AA46" s="44">
        <f t="shared" si="2"/>
        <v>20000</v>
      </c>
      <c r="AB46" s="44">
        <f t="shared" si="11"/>
        <v>20000</v>
      </c>
      <c r="AC46" s="44">
        <v>1000</v>
      </c>
      <c r="AD46" s="44">
        <f t="shared" si="12"/>
        <v>20000</v>
      </c>
      <c r="AE46" s="44">
        <f t="shared" si="13"/>
        <v>20000</v>
      </c>
      <c r="AF46" s="44">
        <v>1000</v>
      </c>
      <c r="AG46" s="44">
        <f t="shared" si="14"/>
        <v>20000</v>
      </c>
      <c r="AH46" s="44">
        <f t="shared" si="15"/>
        <v>20000</v>
      </c>
      <c r="AI46" s="44">
        <v>1000</v>
      </c>
      <c r="AJ46" s="44">
        <f t="shared" si="16"/>
        <v>20000</v>
      </c>
      <c r="AK46" s="44">
        <f t="shared" si="17"/>
        <v>20000</v>
      </c>
      <c r="AL46" s="44"/>
      <c r="AM46" s="44">
        <f t="shared" si="18"/>
        <v>0</v>
      </c>
      <c r="AN46" s="44">
        <f t="shared" si="19"/>
        <v>0</v>
      </c>
      <c r="AO46" s="44"/>
      <c r="AP46" s="44">
        <f t="shared" si="20"/>
        <v>0</v>
      </c>
      <c r="AQ46" s="44">
        <f t="shared" si="21"/>
        <v>0</v>
      </c>
      <c r="AR46" s="44"/>
      <c r="AS46" s="44">
        <f t="shared" si="22"/>
        <v>0</v>
      </c>
      <c r="AT46" s="44">
        <f t="shared" si="23"/>
        <v>0</v>
      </c>
      <c r="AU46" s="44"/>
      <c r="AV46" s="44">
        <f t="shared" si="24"/>
        <v>0</v>
      </c>
      <c r="AW46" s="44">
        <f t="shared" si="25"/>
        <v>0</v>
      </c>
      <c r="AX46" s="44"/>
      <c r="AY46" s="44">
        <f t="shared" si="26"/>
        <v>0</v>
      </c>
      <c r="AZ46" s="44">
        <f t="shared" si="27"/>
        <v>0</v>
      </c>
      <c r="BA46" s="44"/>
      <c r="BB46" s="44">
        <f t="shared" si="28"/>
        <v>0</v>
      </c>
      <c r="BC46" s="44">
        <f t="shared" si="29"/>
        <v>0</v>
      </c>
      <c r="BD46" s="44"/>
      <c r="BE46" s="44">
        <f t="shared" si="3"/>
        <v>0</v>
      </c>
      <c r="BF46" s="44">
        <f t="shared" si="4"/>
        <v>0</v>
      </c>
      <c r="BG46" s="44"/>
      <c r="BH46" s="44">
        <f t="shared" si="30"/>
        <v>0</v>
      </c>
      <c r="BI46" s="44">
        <f t="shared" si="31"/>
        <v>0</v>
      </c>
    </row>
    <row r="47" spans="2:61" s="7" customFormat="1" ht="15" x14ac:dyDescent="0.25">
      <c r="B47" s="88">
        <v>39</v>
      </c>
      <c r="C47" s="85" t="s">
        <v>500</v>
      </c>
      <c r="D47" s="88" t="s">
        <v>150</v>
      </c>
      <c r="E47" s="88" t="s">
        <v>90</v>
      </c>
      <c r="F47" s="88"/>
      <c r="G47" s="115">
        <v>50</v>
      </c>
      <c r="H47" s="115">
        <f t="shared" si="41"/>
        <v>50</v>
      </c>
      <c r="I47" s="430"/>
      <c r="J47" s="230"/>
      <c r="K47" s="230"/>
      <c r="L47" s="230"/>
      <c r="M47" s="172"/>
      <c r="N47" s="44"/>
      <c r="O47" s="44">
        <f t="shared" si="0"/>
        <v>0</v>
      </c>
      <c r="P47" s="44">
        <f t="shared" si="1"/>
        <v>0</v>
      </c>
      <c r="Q47" s="44"/>
      <c r="R47" s="44">
        <f t="shared" si="5"/>
        <v>0</v>
      </c>
      <c r="S47" s="44">
        <f t="shared" si="6"/>
        <v>0</v>
      </c>
      <c r="T47" s="44"/>
      <c r="U47" s="44">
        <f t="shared" si="7"/>
        <v>0</v>
      </c>
      <c r="V47" s="44">
        <f t="shared" si="8"/>
        <v>0</v>
      </c>
      <c r="W47" s="44"/>
      <c r="X47" s="44">
        <f t="shared" si="9"/>
        <v>0</v>
      </c>
      <c r="Y47" s="44">
        <f t="shared" si="10"/>
        <v>0</v>
      </c>
      <c r="Z47" s="44">
        <v>1000</v>
      </c>
      <c r="AA47" s="44">
        <f t="shared" si="2"/>
        <v>50000</v>
      </c>
      <c r="AB47" s="44">
        <f t="shared" si="11"/>
        <v>50000</v>
      </c>
      <c r="AC47" s="44">
        <v>1000</v>
      </c>
      <c r="AD47" s="44">
        <f t="shared" si="12"/>
        <v>50000</v>
      </c>
      <c r="AE47" s="44">
        <f t="shared" si="13"/>
        <v>50000</v>
      </c>
      <c r="AF47" s="44">
        <v>1000</v>
      </c>
      <c r="AG47" s="44">
        <f t="shared" si="14"/>
        <v>50000</v>
      </c>
      <c r="AH47" s="44">
        <f t="shared" si="15"/>
        <v>50000</v>
      </c>
      <c r="AI47" s="44">
        <v>1000</v>
      </c>
      <c r="AJ47" s="44">
        <f t="shared" si="16"/>
        <v>50000</v>
      </c>
      <c r="AK47" s="44">
        <f t="shared" si="17"/>
        <v>50000</v>
      </c>
      <c r="AL47" s="44"/>
      <c r="AM47" s="44">
        <f t="shared" si="18"/>
        <v>0</v>
      </c>
      <c r="AN47" s="44">
        <f t="shared" si="19"/>
        <v>0</v>
      </c>
      <c r="AO47" s="44"/>
      <c r="AP47" s="44">
        <f t="shared" si="20"/>
        <v>0</v>
      </c>
      <c r="AQ47" s="44">
        <f t="shared" si="21"/>
        <v>0</v>
      </c>
      <c r="AR47" s="44"/>
      <c r="AS47" s="44">
        <f t="shared" si="22"/>
        <v>0</v>
      </c>
      <c r="AT47" s="44">
        <f t="shared" si="23"/>
        <v>0</v>
      </c>
      <c r="AU47" s="44"/>
      <c r="AV47" s="44">
        <f t="shared" si="24"/>
        <v>0</v>
      </c>
      <c r="AW47" s="44">
        <f t="shared" si="25"/>
        <v>0</v>
      </c>
      <c r="AX47" s="44"/>
      <c r="AY47" s="44">
        <f t="shared" si="26"/>
        <v>0</v>
      </c>
      <c r="AZ47" s="44">
        <f t="shared" si="27"/>
        <v>0</v>
      </c>
      <c r="BA47" s="44"/>
      <c r="BB47" s="44">
        <f t="shared" si="28"/>
        <v>0</v>
      </c>
      <c r="BC47" s="44">
        <f t="shared" si="29"/>
        <v>0</v>
      </c>
      <c r="BD47" s="44"/>
      <c r="BE47" s="44">
        <f t="shared" si="3"/>
        <v>0</v>
      </c>
      <c r="BF47" s="44">
        <f t="shared" si="4"/>
        <v>0</v>
      </c>
      <c r="BG47" s="44"/>
      <c r="BH47" s="44">
        <f t="shared" si="30"/>
        <v>0</v>
      </c>
      <c r="BI47" s="44">
        <f t="shared" si="31"/>
        <v>0</v>
      </c>
    </row>
    <row r="48" spans="2:61" s="7" customFormat="1" ht="15" x14ac:dyDescent="0.25">
      <c r="B48" s="88">
        <v>40</v>
      </c>
      <c r="C48" s="85" t="s">
        <v>151</v>
      </c>
      <c r="D48" s="88" t="s">
        <v>150</v>
      </c>
      <c r="E48" s="88" t="s">
        <v>90</v>
      </c>
      <c r="F48" s="88"/>
      <c r="G48" s="115">
        <v>40</v>
      </c>
      <c r="H48" s="115">
        <f t="shared" si="41"/>
        <v>40</v>
      </c>
      <c r="I48" s="431"/>
      <c r="J48" s="230"/>
      <c r="K48" s="230"/>
      <c r="L48" s="230"/>
      <c r="M48" s="172"/>
      <c r="N48" s="44"/>
      <c r="O48" s="44">
        <f t="shared" si="0"/>
        <v>0</v>
      </c>
      <c r="P48" s="44">
        <f t="shared" si="1"/>
        <v>0</v>
      </c>
      <c r="Q48" s="44"/>
      <c r="R48" s="44">
        <f t="shared" si="5"/>
        <v>0</v>
      </c>
      <c r="S48" s="44">
        <f t="shared" si="6"/>
        <v>0</v>
      </c>
      <c r="T48" s="44"/>
      <c r="U48" s="44">
        <f t="shared" si="7"/>
        <v>0</v>
      </c>
      <c r="V48" s="44">
        <f t="shared" si="8"/>
        <v>0</v>
      </c>
      <c r="W48" s="44"/>
      <c r="X48" s="44">
        <f t="shared" si="9"/>
        <v>0</v>
      </c>
      <c r="Y48" s="44">
        <f t="shared" si="10"/>
        <v>0</v>
      </c>
      <c r="Z48" s="44"/>
      <c r="AA48" s="44">
        <f t="shared" si="2"/>
        <v>0</v>
      </c>
      <c r="AB48" s="44">
        <f t="shared" si="11"/>
        <v>0</v>
      </c>
      <c r="AC48" s="44"/>
      <c r="AD48" s="44">
        <f t="shared" si="12"/>
        <v>0</v>
      </c>
      <c r="AE48" s="44">
        <f t="shared" si="13"/>
        <v>0</v>
      </c>
      <c r="AF48" s="44"/>
      <c r="AG48" s="44">
        <f t="shared" si="14"/>
        <v>0</v>
      </c>
      <c r="AH48" s="44">
        <f t="shared" si="15"/>
        <v>0</v>
      </c>
      <c r="AI48" s="44"/>
      <c r="AJ48" s="44">
        <f t="shared" si="16"/>
        <v>0</v>
      </c>
      <c r="AK48" s="44">
        <f t="shared" si="17"/>
        <v>0</v>
      </c>
      <c r="AL48" s="44"/>
      <c r="AM48" s="44">
        <f t="shared" si="18"/>
        <v>0</v>
      </c>
      <c r="AN48" s="44">
        <f t="shared" si="19"/>
        <v>0</v>
      </c>
      <c r="AO48" s="44"/>
      <c r="AP48" s="44">
        <f t="shared" si="20"/>
        <v>0</v>
      </c>
      <c r="AQ48" s="44">
        <f t="shared" si="21"/>
        <v>0</v>
      </c>
      <c r="AR48" s="44"/>
      <c r="AS48" s="44">
        <f t="shared" si="22"/>
        <v>0</v>
      </c>
      <c r="AT48" s="44">
        <f t="shared" si="23"/>
        <v>0</v>
      </c>
      <c r="AU48" s="44"/>
      <c r="AV48" s="44">
        <f t="shared" si="24"/>
        <v>0</v>
      </c>
      <c r="AW48" s="44">
        <f t="shared" si="25"/>
        <v>0</v>
      </c>
      <c r="AX48" s="44"/>
      <c r="AY48" s="44">
        <f t="shared" si="26"/>
        <v>0</v>
      </c>
      <c r="AZ48" s="44">
        <f t="shared" si="27"/>
        <v>0</v>
      </c>
      <c r="BA48" s="44"/>
      <c r="BB48" s="44">
        <f t="shared" si="28"/>
        <v>0</v>
      </c>
      <c r="BC48" s="44">
        <f t="shared" si="29"/>
        <v>0</v>
      </c>
      <c r="BD48" s="44"/>
      <c r="BE48" s="44">
        <f t="shared" si="3"/>
        <v>0</v>
      </c>
      <c r="BF48" s="44">
        <f t="shared" si="4"/>
        <v>0</v>
      </c>
      <c r="BG48" s="44"/>
      <c r="BH48" s="44">
        <f t="shared" si="30"/>
        <v>0</v>
      </c>
      <c r="BI48" s="44">
        <f t="shared" si="31"/>
        <v>0</v>
      </c>
    </row>
    <row r="49" spans="2:61" x14ac:dyDescent="0.25">
      <c r="B49" s="426" t="s">
        <v>108</v>
      </c>
      <c r="C49" s="427"/>
      <c r="D49" s="427"/>
      <c r="E49" s="427"/>
      <c r="F49" s="427"/>
      <c r="G49" s="427"/>
      <c r="H49" s="427"/>
      <c r="I49" s="428"/>
      <c r="J49" s="230"/>
      <c r="K49" s="230"/>
      <c r="L49" s="230"/>
      <c r="M49" s="172"/>
      <c r="N49" s="130"/>
      <c r="O49" s="121">
        <f>SUM(O6:O48)</f>
        <v>1351246.4996021863</v>
      </c>
      <c r="P49" s="121">
        <f>SUM(P6:P48)</f>
        <v>1815746.4996021863</v>
      </c>
      <c r="Q49" s="254"/>
      <c r="R49" s="121">
        <f>SUM(R6:R48)</f>
        <v>1101995.2573886556</v>
      </c>
      <c r="S49" s="121">
        <f>SUM(S6:S48)</f>
        <v>1481495.2573886556</v>
      </c>
      <c r="T49" s="254"/>
      <c r="U49" s="121">
        <f>SUM(U6:U48)</f>
        <v>1341361.2622855341</v>
      </c>
      <c r="V49" s="121">
        <f>SUM(V6:V48)</f>
        <v>1805861.2622855341</v>
      </c>
      <c r="W49" s="254"/>
      <c r="X49" s="121">
        <f>SUM(X6:X48)</f>
        <v>1085339.2680727541</v>
      </c>
      <c r="Y49" s="121">
        <f>SUM(Y6:Y48)</f>
        <v>1464839.2680727541</v>
      </c>
      <c r="Z49" s="130"/>
      <c r="AA49" s="121">
        <f>SUM(AA6:AA48)</f>
        <v>481204.99920437235</v>
      </c>
      <c r="AB49" s="121">
        <f>SUM(AB6:AB48)</f>
        <v>510004.99920437235</v>
      </c>
      <c r="AC49" s="254"/>
      <c r="AD49" s="121">
        <f>SUM(AD6:AD48)</f>
        <v>465503.89660312491</v>
      </c>
      <c r="AE49" s="121">
        <f>SUM(AE6:AE48)</f>
        <v>494303.89660312491</v>
      </c>
      <c r="AF49" s="254"/>
      <c r="AG49" s="121">
        <f>SUM(AG6:AG48)</f>
        <v>450235.90639688179</v>
      </c>
      <c r="AH49" s="121">
        <f>SUM(AH6:AH48)</f>
        <v>479035.90639688179</v>
      </c>
      <c r="AI49" s="254"/>
      <c r="AJ49" s="121">
        <f>SUM(AJ6:AJ48)</f>
        <v>432191.91797132167</v>
      </c>
      <c r="AK49" s="121">
        <f>SUM(AK6:AK48)</f>
        <v>460991.91797132167</v>
      </c>
      <c r="AL49" s="130"/>
      <c r="AM49" s="121">
        <f>SUM(AM6:AM48)</f>
        <v>2691294.3810301861</v>
      </c>
      <c r="AN49" s="121">
        <f>SUM(AN6:AN48)</f>
        <v>3620294.3810301861</v>
      </c>
      <c r="AO49" s="130"/>
      <c r="AP49" s="121">
        <f>SUM(AP6:AP48)</f>
        <v>2691294.3810301861</v>
      </c>
      <c r="AQ49" s="121">
        <f>SUM(AQ6:AQ48)</f>
        <v>3620294.3810301861</v>
      </c>
      <c r="AR49" s="254"/>
      <c r="AS49" s="121">
        <f>SUM(AS6:AS48)</f>
        <v>2192791.8966031247</v>
      </c>
      <c r="AT49" s="121">
        <f>SUM(AT6:AT48)</f>
        <v>2951791.8966031247</v>
      </c>
      <c r="AU49" s="254"/>
      <c r="AV49" s="121">
        <f>SUM(AV6:AV48)</f>
        <v>2685403.8974934663</v>
      </c>
      <c r="AW49" s="121">
        <f>SUM(AW6:AW48)</f>
        <v>3614403.8974934663</v>
      </c>
      <c r="AX49" s="254"/>
      <c r="AY49" s="121">
        <f>SUM(AY6:AY48)</f>
        <v>2671523.9063968817</v>
      </c>
      <c r="AZ49" s="121">
        <f>SUM(AZ6:AZ48)</f>
        <v>3600523.9063968817</v>
      </c>
      <c r="BA49" s="254"/>
      <c r="BB49" s="121">
        <f>SUM(BB6:BB48)</f>
        <v>2159479.9179713218</v>
      </c>
      <c r="BC49" s="121">
        <f>SUM(BC6:BC48)</f>
        <v>2918479.9179713218</v>
      </c>
      <c r="BD49" s="130"/>
      <c r="BE49" s="121">
        <f>SUM(BE6:BE48)</f>
        <v>1351246.4996021863</v>
      </c>
      <c r="BF49" s="121">
        <f>SUM(BF6:BF48)</f>
        <v>1815746.4996021863</v>
      </c>
      <c r="BG49" s="254"/>
      <c r="BH49" s="121">
        <f>SUM(BH6:BH48)</f>
        <v>1348301.2578338264</v>
      </c>
      <c r="BI49" s="121">
        <f>SUM(BI6:BI48)</f>
        <v>1812801.2578338264</v>
      </c>
    </row>
    <row r="50" spans="2:61" x14ac:dyDescent="0.25">
      <c r="B50" s="232"/>
      <c r="C50" s="232"/>
      <c r="D50" s="232"/>
      <c r="E50" s="232"/>
      <c r="F50" s="232"/>
      <c r="G50" s="232"/>
      <c r="H50" s="232"/>
      <c r="I50" s="232"/>
      <c r="J50" s="232"/>
      <c r="K50" s="232"/>
      <c r="L50" s="232"/>
    </row>
    <row r="51" spans="2:61" x14ac:dyDescent="0.25">
      <c r="B51" s="232"/>
      <c r="C51" s="232"/>
      <c r="D51" s="232"/>
      <c r="E51" s="232"/>
      <c r="F51" s="232"/>
      <c r="G51" s="232"/>
      <c r="H51" s="232"/>
      <c r="I51" s="232"/>
      <c r="J51" s="232"/>
      <c r="K51" s="232"/>
      <c r="L51" s="232"/>
      <c r="O51" s="38">
        <v>46354080.046174295</v>
      </c>
      <c r="P51" s="38">
        <v>47367580.046174295</v>
      </c>
      <c r="R51" s="38">
        <v>43855837.832643636</v>
      </c>
      <c r="S51" s="38">
        <v>44668837.832643636</v>
      </c>
      <c r="U51" s="38">
        <v>36468842.729522057</v>
      </c>
      <c r="V51" s="38">
        <v>37482342.729522057</v>
      </c>
      <c r="X51" s="38">
        <v>36221842.729522057</v>
      </c>
      <c r="Y51" s="38">
        <v>37034842.729522057</v>
      </c>
      <c r="AA51" s="38">
        <v>90486872.09234859</v>
      </c>
      <c r="AB51" s="38">
        <v>90515672.09234859</v>
      </c>
      <c r="AD51" s="38">
        <v>85973189.047113076</v>
      </c>
      <c r="AE51" s="38">
        <v>86001989.047113076</v>
      </c>
      <c r="AG51" s="38">
        <v>70705198.840869918</v>
      </c>
      <c r="AH51" s="38">
        <v>70733998.840869918</v>
      </c>
      <c r="AJ51" s="38">
        <v>52661210.415309832</v>
      </c>
      <c r="AK51" s="38">
        <v>52690010.415309832</v>
      </c>
      <c r="AM51" s="38">
        <v>92696961.474174395</v>
      </c>
      <c r="AN51" s="38">
        <v>94723961.474174395</v>
      </c>
      <c r="AP51" s="38">
        <v>92696961.474174395</v>
      </c>
      <c r="AQ51" s="38">
        <v>94723961.474174395</v>
      </c>
      <c r="AS51" s="38">
        <v>87700477.047113076</v>
      </c>
      <c r="AT51" s="38">
        <v>89326477.047113076</v>
      </c>
      <c r="AV51" s="38">
        <v>86806477.937454611</v>
      </c>
      <c r="AW51" s="38">
        <v>88833477.937454611</v>
      </c>
      <c r="AY51" s="38">
        <v>72926486.840869918</v>
      </c>
      <c r="AZ51" s="38">
        <v>74953486.840869918</v>
      </c>
      <c r="BB51" s="38">
        <v>54388498.415309832</v>
      </c>
      <c r="BC51" s="38">
        <v>56014498.415309832</v>
      </c>
    </row>
    <row r="52" spans="2:61" x14ac:dyDescent="0.25">
      <c r="B52" s="232"/>
      <c r="C52" s="232"/>
      <c r="D52" s="232"/>
      <c r="E52" s="232"/>
      <c r="F52" s="232"/>
      <c r="G52" s="232"/>
      <c r="H52" s="232"/>
      <c r="I52" s="232"/>
      <c r="J52" s="232"/>
      <c r="K52" s="232"/>
      <c r="L52" s="232"/>
    </row>
    <row r="53" spans="2:61" x14ac:dyDescent="0.25">
      <c r="B53" s="232"/>
      <c r="C53" s="232"/>
      <c r="D53" s="232"/>
      <c r="E53" s="232"/>
      <c r="F53" s="232"/>
      <c r="G53" s="232"/>
      <c r="H53" s="232"/>
      <c r="I53" s="232"/>
      <c r="J53" s="232"/>
      <c r="K53" s="232"/>
      <c r="L53" s="232"/>
    </row>
    <row r="54" spans="2:61" x14ac:dyDescent="0.25">
      <c r="B54" s="232"/>
      <c r="C54" s="232"/>
      <c r="D54" s="232"/>
      <c r="E54" s="232"/>
      <c r="F54" s="232"/>
      <c r="G54" s="232"/>
      <c r="H54" s="232"/>
      <c r="I54" s="232"/>
      <c r="J54" s="232"/>
      <c r="K54" s="232"/>
      <c r="L54" s="232"/>
    </row>
    <row r="55" spans="2:61" x14ac:dyDescent="0.25">
      <c r="B55" s="232"/>
      <c r="C55" s="232"/>
      <c r="D55" s="232"/>
      <c r="E55" s="232"/>
      <c r="F55" s="232"/>
      <c r="G55" s="232"/>
      <c r="H55" s="232"/>
      <c r="I55" s="232"/>
      <c r="J55" s="232"/>
      <c r="K55" s="232"/>
      <c r="L55" s="232"/>
    </row>
    <row r="56" spans="2:61" x14ac:dyDescent="0.25">
      <c r="B56" s="232"/>
      <c r="C56" s="232"/>
      <c r="D56" s="232"/>
      <c r="E56" s="232"/>
      <c r="F56" s="232"/>
      <c r="G56" s="232"/>
      <c r="H56" s="232"/>
      <c r="I56" s="232"/>
      <c r="J56" s="232"/>
      <c r="K56" s="232"/>
      <c r="L56" s="232"/>
    </row>
    <row r="57" spans="2:61" x14ac:dyDescent="0.25">
      <c r="B57" s="232"/>
      <c r="C57" s="232"/>
      <c r="D57" s="232"/>
      <c r="E57" s="232"/>
      <c r="F57" s="232"/>
      <c r="G57" s="232"/>
      <c r="H57" s="232"/>
      <c r="I57" s="232"/>
      <c r="J57" s="232"/>
      <c r="K57" s="232"/>
      <c r="L57" s="232"/>
    </row>
    <row r="58" spans="2:61" x14ac:dyDescent="0.25">
      <c r="B58" s="232"/>
      <c r="C58" s="232"/>
      <c r="D58" s="232"/>
      <c r="E58" s="232"/>
      <c r="F58" s="232"/>
      <c r="G58" s="232"/>
      <c r="H58" s="232"/>
      <c r="I58" s="232"/>
      <c r="J58" s="232"/>
      <c r="K58" s="232"/>
      <c r="L58" s="232"/>
    </row>
    <row r="59" spans="2:61" x14ac:dyDescent="0.25">
      <c r="B59" s="232"/>
      <c r="C59" s="232"/>
      <c r="D59" s="232"/>
      <c r="E59" s="232"/>
      <c r="F59" s="232"/>
      <c r="G59" s="232"/>
      <c r="H59" s="232"/>
      <c r="I59" s="232"/>
      <c r="J59" s="232"/>
      <c r="K59" s="232"/>
      <c r="L59" s="232"/>
    </row>
    <row r="60" spans="2:61" x14ac:dyDescent="0.25">
      <c r="B60" s="232"/>
      <c r="C60" s="232"/>
      <c r="D60" s="232"/>
      <c r="E60" s="232"/>
      <c r="F60" s="232"/>
      <c r="G60" s="232"/>
      <c r="H60" s="232"/>
      <c r="I60" s="232"/>
      <c r="J60" s="232"/>
      <c r="K60" s="232"/>
      <c r="L60" s="232"/>
    </row>
    <row r="61" spans="2:61" x14ac:dyDescent="0.25">
      <c r="B61" s="232"/>
      <c r="C61" s="232"/>
      <c r="D61" s="232"/>
      <c r="E61" s="232"/>
      <c r="F61" s="232"/>
      <c r="G61" s="232"/>
      <c r="H61" s="232"/>
      <c r="I61" s="232"/>
      <c r="J61" s="232"/>
      <c r="K61" s="232"/>
      <c r="L61" s="232"/>
    </row>
  </sheetData>
  <mergeCells count="30">
    <mergeCell ref="BD3:BF3"/>
    <mergeCell ref="BG3:BI3"/>
    <mergeCell ref="Z3:AB3"/>
    <mergeCell ref="AC3:AE3"/>
    <mergeCell ref="AF3:AH3"/>
    <mergeCell ref="AI3:AK3"/>
    <mergeCell ref="BA3:BC3"/>
    <mergeCell ref="AL3:AN3"/>
    <mergeCell ref="AO3:AQ3"/>
    <mergeCell ref="AR3:AT3"/>
    <mergeCell ref="AU3:AW3"/>
    <mergeCell ref="AX3:AZ3"/>
    <mergeCell ref="B49:I49"/>
    <mergeCell ref="T3:V3"/>
    <mergeCell ref="W3:Y3"/>
    <mergeCell ref="N3:P3"/>
    <mergeCell ref="Q3:S3"/>
    <mergeCell ref="I46:I48"/>
    <mergeCell ref="J3:M3"/>
    <mergeCell ref="I7:I9"/>
    <mergeCell ref="I3:I4"/>
    <mergeCell ref="B6:B9"/>
    <mergeCell ref="I10:I13"/>
    <mergeCell ref="B2:D2"/>
    <mergeCell ref="G3:H3"/>
    <mergeCell ref="C3:C4"/>
    <mergeCell ref="D3:D4"/>
    <mergeCell ref="B3:B4"/>
    <mergeCell ref="E3:E4"/>
    <mergeCell ref="F3:F4"/>
  </mergeCells>
  <printOptions horizontalCentered="1"/>
  <pageMargins left="0.47" right="0.5" top="1.01" bottom="0.57999999999999996" header="0.4" footer="0.3"/>
  <pageSetup paperSize="9" scale="79" orientation="landscape" r:id="rId1"/>
  <headerFooter>
    <oddHeader>&amp;L&amp;G&amp;C&amp;"-,Bold"&amp;20JBVNL Cost Data Book&amp;"-,Regular"&amp;11
&amp;"-,Bold Italic"&amp;14 UG Cabling Labour Cost Analysis&amp;R
&amp;G</oddHeader>
    <oddFooter>&amp;L&amp;"-,Bold"&amp;14 2016-17&amp;RPage &amp;P of &amp;N</oddFooter>
  </headerFooter>
  <rowBreaks count="2" manualBreakCount="2">
    <brk id="24" min="1" max="60" man="1"/>
    <brk id="38" min="1" max="60" man="1"/>
  </rowBreaks>
  <colBreaks count="9" manualBreakCount="9">
    <brk id="9" min="1" max="48" man="1"/>
    <brk id="13" min="1" max="48" man="1"/>
    <brk id="19" min="1" max="48" man="1"/>
    <brk id="25" min="1" max="48" man="1"/>
    <brk id="31" min="1" max="48" man="1"/>
    <brk id="37" min="1" max="48" man="1"/>
    <brk id="43" min="1" max="48" man="1"/>
    <brk id="49" min="1" max="48" man="1"/>
    <brk id="55" min="1" max="48" man="1"/>
  </colBreaks>
  <legacyDrawingHF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499984740745262"/>
  </sheetPr>
  <dimension ref="B1:L22"/>
  <sheetViews>
    <sheetView zoomScaleNormal="100" workbookViewId="0">
      <pane xSplit="4" ySplit="5" topLeftCell="E6" activePane="bottomRight" state="frozen"/>
      <selection activeCell="P8" sqref="P8"/>
      <selection pane="topRight" activeCell="P8" sqref="P8"/>
      <selection pane="bottomLeft" activeCell="P8" sqref="P8"/>
      <selection pane="bottomRight" activeCell="E6" sqref="E6"/>
    </sheetView>
  </sheetViews>
  <sheetFormatPr defaultRowHeight="15" x14ac:dyDescent="0.25"/>
  <cols>
    <col min="1" max="1" width="4" customWidth="1"/>
    <col min="2" max="2" width="8.7109375" customWidth="1"/>
    <col min="3" max="3" width="58.7109375" bestFit="1" customWidth="1"/>
    <col min="4" max="4" width="8.5703125" bestFit="1" customWidth="1"/>
    <col min="5" max="5" width="12" customWidth="1"/>
    <col min="6" max="6" width="25.85546875" customWidth="1"/>
    <col min="7" max="7" width="10" customWidth="1"/>
    <col min="8" max="8" width="10.85546875" customWidth="1"/>
    <col min="9" max="9" width="31" customWidth="1"/>
    <col min="10" max="10" width="6.5703125" bestFit="1" customWidth="1"/>
    <col min="11" max="12" width="11.5703125" bestFit="1" customWidth="1"/>
  </cols>
  <sheetData>
    <row r="1" spans="2:12" x14ac:dyDescent="0.25">
      <c r="H1">
        <v>1.5</v>
      </c>
    </row>
    <row r="2" spans="2:12" ht="39.75" hidden="1" customHeight="1" x14ac:dyDescent="0.25">
      <c r="C2" s="368" t="s">
        <v>823</v>
      </c>
      <c r="D2" s="368"/>
      <c r="E2" s="368"/>
    </row>
    <row r="3" spans="2:12" ht="41.25" customHeight="1" x14ac:dyDescent="0.25">
      <c r="B3" s="375" t="s">
        <v>155</v>
      </c>
      <c r="C3" s="377" t="s">
        <v>2</v>
      </c>
      <c r="D3" s="375" t="s">
        <v>0</v>
      </c>
      <c r="E3" s="379" t="s">
        <v>211</v>
      </c>
      <c r="F3" s="379" t="s">
        <v>72</v>
      </c>
      <c r="G3" s="367" t="s">
        <v>210</v>
      </c>
      <c r="H3" s="367"/>
      <c r="I3" s="381" t="s">
        <v>349</v>
      </c>
      <c r="J3" s="386" t="s">
        <v>822</v>
      </c>
      <c r="K3" s="387"/>
      <c r="L3" s="388"/>
    </row>
    <row r="4" spans="2:12" ht="36.75" customHeight="1" x14ac:dyDescent="0.25">
      <c r="B4" s="376"/>
      <c r="C4" s="378"/>
      <c r="D4" s="376"/>
      <c r="E4" s="380"/>
      <c r="F4" s="380"/>
      <c r="G4" s="159" t="s">
        <v>144</v>
      </c>
      <c r="H4" s="159" t="s">
        <v>145</v>
      </c>
      <c r="I4" s="382"/>
      <c r="J4" s="159" t="s">
        <v>107</v>
      </c>
      <c r="K4" s="159" t="s">
        <v>507</v>
      </c>
      <c r="L4" s="159" t="s">
        <v>508</v>
      </c>
    </row>
    <row r="5" spans="2:12" x14ac:dyDescent="0.25">
      <c r="B5" s="161" t="s">
        <v>74</v>
      </c>
      <c r="C5" s="138" t="s">
        <v>75</v>
      </c>
      <c r="D5" s="160" t="s">
        <v>76</v>
      </c>
      <c r="E5" s="160" t="s">
        <v>77</v>
      </c>
      <c r="F5" s="160" t="s">
        <v>78</v>
      </c>
      <c r="G5" s="159" t="s">
        <v>664</v>
      </c>
      <c r="H5" s="159" t="s">
        <v>665</v>
      </c>
      <c r="I5" s="91" t="s">
        <v>93</v>
      </c>
      <c r="J5" s="160" t="s">
        <v>94</v>
      </c>
      <c r="K5" s="160" t="s">
        <v>95</v>
      </c>
      <c r="L5" s="160" t="s">
        <v>96</v>
      </c>
    </row>
    <row r="6" spans="2:12" ht="25.5" x14ac:dyDescent="0.25">
      <c r="B6" s="164">
        <v>1</v>
      </c>
      <c r="C6" s="143" t="s">
        <v>167</v>
      </c>
      <c r="D6" s="180" t="s">
        <v>21</v>
      </c>
      <c r="E6" s="113">
        <v>1029.5600978959999</v>
      </c>
      <c r="F6" s="142">
        <f>'Labour cost Escalation Factor'!$J$10</f>
        <v>0.27984207704983549</v>
      </c>
      <c r="G6" s="115">
        <f>E6*(1+F6)</f>
        <v>1317.6743341388485</v>
      </c>
      <c r="H6" s="115">
        <f>G6</f>
        <v>1317.6743341388485</v>
      </c>
      <c r="I6" s="209" t="s">
        <v>763</v>
      </c>
      <c r="J6" s="112">
        <v>1</v>
      </c>
      <c r="K6" s="112">
        <f>$G6*J6</f>
        <v>1317.6743341388485</v>
      </c>
      <c r="L6" s="112">
        <f>$H6*J6</f>
        <v>1317.6743341388485</v>
      </c>
    </row>
    <row r="7" spans="2:12" ht="51" x14ac:dyDescent="0.25">
      <c r="B7" s="164">
        <v>2</v>
      </c>
      <c r="C7" s="143" t="s">
        <v>146</v>
      </c>
      <c r="D7" s="180" t="s">
        <v>3</v>
      </c>
      <c r="E7" s="113">
        <f>200*1.2967</f>
        <v>259.33999999999997</v>
      </c>
      <c r="F7" s="142">
        <f>'Labour cost Escalation Factor'!$J$10</f>
        <v>0.27984207704983549</v>
      </c>
      <c r="G7" s="115">
        <f>E7*(1+F7)</f>
        <v>331.91424426210432</v>
      </c>
      <c r="H7" s="115">
        <f>G7*$H$1</f>
        <v>497.87136639315645</v>
      </c>
      <c r="I7" s="209" t="s">
        <v>766</v>
      </c>
      <c r="J7" s="112">
        <v>26</v>
      </c>
      <c r="K7" s="112">
        <f t="shared" ref="K7:K21" si="0">$G7*J7</f>
        <v>8629.7703508147115</v>
      </c>
      <c r="L7" s="112">
        <f t="shared" ref="L7:L21" si="1">$H7*J7</f>
        <v>12944.655526222068</v>
      </c>
    </row>
    <row r="8" spans="2:12" ht="25.5" x14ac:dyDescent="0.25">
      <c r="B8" s="164">
        <v>3</v>
      </c>
      <c r="C8" s="143" t="s">
        <v>142</v>
      </c>
      <c r="D8" s="180" t="s">
        <v>8</v>
      </c>
      <c r="E8" s="113">
        <f>661.34*1.2967</f>
        <v>857.55957799999999</v>
      </c>
      <c r="F8" s="142">
        <f>'Labour cost Escalation Factor'!$J$10</f>
        <v>0.27984207704983549</v>
      </c>
      <c r="G8" s="115">
        <f>E8*(1+F8)</f>
        <v>1097.5408315015004</v>
      </c>
      <c r="H8" s="115">
        <f>G8</f>
        <v>1097.5408315015004</v>
      </c>
      <c r="I8" s="209" t="s">
        <v>763</v>
      </c>
      <c r="J8" s="112">
        <v>26</v>
      </c>
      <c r="K8" s="112">
        <f t="shared" si="0"/>
        <v>28536.06161903901</v>
      </c>
      <c r="L8" s="112">
        <f t="shared" si="1"/>
        <v>28536.06161903901</v>
      </c>
    </row>
    <row r="9" spans="2:12" x14ac:dyDescent="0.25">
      <c r="B9" s="164">
        <v>4</v>
      </c>
      <c r="C9" s="57" t="s">
        <v>816</v>
      </c>
      <c r="D9" s="180" t="s">
        <v>158</v>
      </c>
      <c r="E9" s="113">
        <v>190.14808799999997</v>
      </c>
      <c r="F9" s="142">
        <v>0.27984207704983549</v>
      </c>
      <c r="G9" s="115">
        <v>243.35952389297486</v>
      </c>
      <c r="H9" s="115">
        <v>243.35952389297486</v>
      </c>
      <c r="I9" s="444" t="s">
        <v>817</v>
      </c>
      <c r="J9" s="112">
        <v>48</v>
      </c>
      <c r="K9" s="112">
        <f t="shared" si="0"/>
        <v>11681.257146862794</v>
      </c>
      <c r="L9" s="112">
        <f t="shared" si="1"/>
        <v>11681.257146862794</v>
      </c>
    </row>
    <row r="10" spans="2:12" ht="38.25" x14ac:dyDescent="0.25">
      <c r="B10" s="164">
        <v>5</v>
      </c>
      <c r="C10" s="57" t="s">
        <v>825</v>
      </c>
      <c r="D10" s="180" t="s">
        <v>21</v>
      </c>
      <c r="E10" s="113" t="s">
        <v>90</v>
      </c>
      <c r="F10" s="142"/>
      <c r="G10" s="115">
        <v>23658.400527089376</v>
      </c>
      <c r="H10" s="115">
        <v>23658.400527089376</v>
      </c>
      <c r="I10" s="445"/>
      <c r="J10" s="112">
        <v>3.15</v>
      </c>
      <c r="K10" s="112">
        <f t="shared" si="0"/>
        <v>74523.961660331537</v>
      </c>
      <c r="L10" s="112">
        <f t="shared" si="1"/>
        <v>74523.961660331537</v>
      </c>
    </row>
    <row r="11" spans="2:12" x14ac:dyDescent="0.25">
      <c r="B11" s="441">
        <v>6</v>
      </c>
      <c r="C11" s="57" t="s">
        <v>810</v>
      </c>
      <c r="D11" s="180"/>
      <c r="E11" s="115"/>
      <c r="F11" s="142"/>
      <c r="G11" s="176"/>
      <c r="H11" s="115"/>
      <c r="I11" s="209"/>
      <c r="J11" s="112"/>
      <c r="K11" s="112">
        <f t="shared" si="0"/>
        <v>0</v>
      </c>
      <c r="L11" s="112">
        <f t="shared" si="1"/>
        <v>0</v>
      </c>
    </row>
    <row r="12" spans="2:12" ht="38.25" x14ac:dyDescent="0.25">
      <c r="B12" s="442"/>
      <c r="C12" s="57" t="s">
        <v>806</v>
      </c>
      <c r="D12" s="180" t="s">
        <v>40</v>
      </c>
      <c r="E12" s="115">
        <f>175.027175719/6</f>
        <v>29.17119595316667</v>
      </c>
      <c r="F12" s="142">
        <f>'Labour cost Escalation Factor'!$J$10</f>
        <v>0.27984207704983549</v>
      </c>
      <c r="G12" s="176">
        <f>E12*(1+F12)</f>
        <v>37.334524018728587</v>
      </c>
      <c r="H12" s="115">
        <f t="shared" ref="H12:H18" si="2">G12</f>
        <v>37.334524018728587</v>
      </c>
      <c r="I12" s="209" t="s">
        <v>818</v>
      </c>
      <c r="J12" s="112">
        <v>60</v>
      </c>
      <c r="K12" s="112">
        <f t="shared" si="0"/>
        <v>2240.071441123715</v>
      </c>
      <c r="L12" s="112">
        <f t="shared" si="1"/>
        <v>2240.071441123715</v>
      </c>
    </row>
    <row r="13" spans="2:12" ht="38.25" x14ac:dyDescent="0.25">
      <c r="B13" s="443"/>
      <c r="C13" s="57" t="s">
        <v>807</v>
      </c>
      <c r="D13" s="180" t="s">
        <v>40</v>
      </c>
      <c r="E13" s="115">
        <f>175.027175719/6</f>
        <v>29.17119595316667</v>
      </c>
      <c r="F13" s="142">
        <f>'Labour cost Escalation Factor'!$J$10</f>
        <v>0.27984207704983549</v>
      </c>
      <c r="G13" s="176">
        <f>E13*(1+F13)</f>
        <v>37.334524018728587</v>
      </c>
      <c r="H13" s="115">
        <f t="shared" si="2"/>
        <v>37.334524018728587</v>
      </c>
      <c r="I13" s="209" t="s">
        <v>818</v>
      </c>
      <c r="J13" s="112">
        <v>18</v>
      </c>
      <c r="K13" s="112">
        <f t="shared" si="0"/>
        <v>672.02143233711456</v>
      </c>
      <c r="L13" s="112">
        <f t="shared" si="1"/>
        <v>672.02143233711456</v>
      </c>
    </row>
    <row r="14" spans="2:12" x14ac:dyDescent="0.25">
      <c r="B14" s="441">
        <v>7</v>
      </c>
      <c r="C14" s="57" t="s">
        <v>811</v>
      </c>
      <c r="D14" s="180"/>
      <c r="E14" s="113"/>
      <c r="F14" s="142"/>
      <c r="G14" s="115"/>
      <c r="H14" s="115"/>
      <c r="I14" s="115"/>
      <c r="J14" s="112"/>
      <c r="K14" s="112">
        <f t="shared" si="0"/>
        <v>0</v>
      </c>
      <c r="L14" s="112">
        <f t="shared" si="1"/>
        <v>0</v>
      </c>
    </row>
    <row r="15" spans="2:12" x14ac:dyDescent="0.25">
      <c r="B15" s="442"/>
      <c r="C15" s="57" t="s">
        <v>812</v>
      </c>
      <c r="D15" s="180" t="s">
        <v>157</v>
      </c>
      <c r="E15" s="113" t="s">
        <v>90</v>
      </c>
      <c r="F15" s="142"/>
      <c r="G15" s="115">
        <v>350</v>
      </c>
      <c r="H15" s="115">
        <f t="shared" si="2"/>
        <v>350</v>
      </c>
      <c r="I15" s="182" t="s">
        <v>824</v>
      </c>
      <c r="J15" s="112">
        <v>6</v>
      </c>
      <c r="K15" s="112">
        <f t="shared" si="0"/>
        <v>2100</v>
      </c>
      <c r="L15" s="112">
        <f t="shared" si="1"/>
        <v>2100</v>
      </c>
    </row>
    <row r="16" spans="2:12" x14ac:dyDescent="0.25">
      <c r="B16" s="442"/>
      <c r="C16" s="57" t="s">
        <v>813</v>
      </c>
      <c r="D16" s="180" t="s">
        <v>157</v>
      </c>
      <c r="E16" s="113" t="s">
        <v>90</v>
      </c>
      <c r="F16" s="142"/>
      <c r="G16" s="115">
        <v>60</v>
      </c>
      <c r="H16" s="115">
        <f t="shared" si="2"/>
        <v>60</v>
      </c>
      <c r="I16" s="182" t="s">
        <v>824</v>
      </c>
      <c r="J16" s="112">
        <v>6</v>
      </c>
      <c r="K16" s="112">
        <f t="shared" si="0"/>
        <v>360</v>
      </c>
      <c r="L16" s="112">
        <f t="shared" si="1"/>
        <v>360</v>
      </c>
    </row>
    <row r="17" spans="2:12" x14ac:dyDescent="0.25">
      <c r="B17" s="442"/>
      <c r="C17" s="57" t="s">
        <v>814</v>
      </c>
      <c r="D17" s="180" t="s">
        <v>157</v>
      </c>
      <c r="E17" s="113" t="s">
        <v>90</v>
      </c>
      <c r="F17" s="142"/>
      <c r="G17" s="115">
        <v>180</v>
      </c>
      <c r="H17" s="115">
        <f t="shared" si="2"/>
        <v>180</v>
      </c>
      <c r="I17" s="182" t="s">
        <v>824</v>
      </c>
      <c r="J17" s="112">
        <v>18</v>
      </c>
      <c r="K17" s="112">
        <f t="shared" si="0"/>
        <v>3240</v>
      </c>
      <c r="L17" s="112">
        <f t="shared" si="1"/>
        <v>3240</v>
      </c>
    </row>
    <row r="18" spans="2:12" x14ac:dyDescent="0.25">
      <c r="B18" s="443"/>
      <c r="C18" s="57" t="s">
        <v>815</v>
      </c>
      <c r="D18" s="180" t="s">
        <v>157</v>
      </c>
      <c r="E18" s="113" t="s">
        <v>90</v>
      </c>
      <c r="F18" s="142"/>
      <c r="G18" s="115">
        <v>750</v>
      </c>
      <c r="H18" s="115">
        <f t="shared" si="2"/>
        <v>750</v>
      </c>
      <c r="I18" s="182" t="s">
        <v>824</v>
      </c>
      <c r="J18" s="112">
        <v>1</v>
      </c>
      <c r="K18" s="112">
        <f t="shared" si="0"/>
        <v>750</v>
      </c>
      <c r="L18" s="112">
        <f t="shared" si="1"/>
        <v>750</v>
      </c>
    </row>
    <row r="19" spans="2:12" ht="38.25" x14ac:dyDescent="0.25">
      <c r="B19" s="164">
        <v>8</v>
      </c>
      <c r="C19" s="135" t="s">
        <v>130</v>
      </c>
      <c r="D19" s="180" t="s">
        <v>158</v>
      </c>
      <c r="E19" s="113">
        <v>412.89173594900001</v>
      </c>
      <c r="F19" s="142">
        <f>'Labour cost Escalation Factor'!$J$10</f>
        <v>0.27984207704983549</v>
      </c>
      <c r="G19" s="115">
        <f>E19*(1+F19)</f>
        <v>528.43621693368038</v>
      </c>
      <c r="H19" s="115">
        <f>G19</f>
        <v>528.43621693368038</v>
      </c>
      <c r="I19" s="209" t="s">
        <v>818</v>
      </c>
      <c r="J19" s="112">
        <v>13</v>
      </c>
      <c r="K19" s="112">
        <f t="shared" si="0"/>
        <v>6869.6708201378451</v>
      </c>
      <c r="L19" s="112">
        <f t="shared" si="1"/>
        <v>6869.6708201378451</v>
      </c>
    </row>
    <row r="20" spans="2:12" ht="51" x14ac:dyDescent="0.25">
      <c r="B20" s="164">
        <v>9</v>
      </c>
      <c r="C20" s="57" t="s">
        <v>819</v>
      </c>
      <c r="D20" s="180" t="s">
        <v>14</v>
      </c>
      <c r="E20" s="113" t="s">
        <v>90</v>
      </c>
      <c r="F20" s="142"/>
      <c r="G20" s="208">
        <f>4428.8*0.945</f>
        <v>4185.2160000000003</v>
      </c>
      <c r="H20" s="208">
        <f>G20*$H$1</f>
        <v>6277.8240000000005</v>
      </c>
      <c r="I20" s="429" t="s">
        <v>821</v>
      </c>
      <c r="J20" s="112">
        <v>13</v>
      </c>
      <c r="K20" s="112">
        <f t="shared" si="0"/>
        <v>54407.808000000005</v>
      </c>
      <c r="L20" s="112">
        <f t="shared" si="1"/>
        <v>81611.712</v>
      </c>
    </row>
    <row r="21" spans="2:12" ht="38.25" x14ac:dyDescent="0.25">
      <c r="B21" s="164">
        <v>10</v>
      </c>
      <c r="C21" s="57" t="s">
        <v>820</v>
      </c>
      <c r="D21" s="180" t="s">
        <v>14</v>
      </c>
      <c r="E21" s="113" t="s">
        <v>90</v>
      </c>
      <c r="F21" s="142"/>
      <c r="G21" s="208">
        <f>4428.8*0.432</f>
        <v>1913.2416000000001</v>
      </c>
      <c r="H21" s="208">
        <f>G21*$H$1</f>
        <v>2869.8624</v>
      </c>
      <c r="I21" s="431"/>
      <c r="J21" s="112">
        <v>6</v>
      </c>
      <c r="K21" s="112">
        <f t="shared" si="0"/>
        <v>11479.4496</v>
      </c>
      <c r="L21" s="112">
        <f t="shared" si="1"/>
        <v>17219.1744</v>
      </c>
    </row>
    <row r="22" spans="2:12" x14ac:dyDescent="0.25">
      <c r="B22" s="389" t="s">
        <v>108</v>
      </c>
      <c r="C22" s="390"/>
      <c r="D22" s="390"/>
      <c r="E22" s="390"/>
      <c r="F22" s="390"/>
      <c r="G22" s="390"/>
      <c r="H22" s="391"/>
      <c r="I22" s="68"/>
      <c r="J22" s="120"/>
      <c r="K22" s="121">
        <f>SUM(K6:K21)</f>
        <v>206807.7464047856</v>
      </c>
      <c r="L22" s="121">
        <f>SUM(L6:L21)</f>
        <v>244066.26038019292</v>
      </c>
    </row>
  </sheetData>
  <mergeCells count="14">
    <mergeCell ref="C2:E2"/>
    <mergeCell ref="B3:B4"/>
    <mergeCell ref="C3:C4"/>
    <mergeCell ref="D3:D4"/>
    <mergeCell ref="E3:E4"/>
    <mergeCell ref="B22:H22"/>
    <mergeCell ref="J3:L3"/>
    <mergeCell ref="F3:F4"/>
    <mergeCell ref="G3:H3"/>
    <mergeCell ref="I3:I4"/>
    <mergeCell ref="I20:I21"/>
    <mergeCell ref="B14:B18"/>
    <mergeCell ref="B11:B13"/>
    <mergeCell ref="I9:I10"/>
  </mergeCells>
  <printOptions horizontalCentered="1" verticalCentered="1"/>
  <pageMargins left="0.7" right="0.7" top="1.17" bottom="0.84" header="0.6" footer="0.62"/>
  <pageSetup paperSize="9" scale="79" orientation="landscape" r:id="rId1"/>
  <headerFooter>
    <oddHeader>&amp;L&amp;G&amp;C&amp;"-,Bold"&amp;20JBVNL Cost Data Book&amp;"-,Regular"&amp;11
&amp;"-,Bold Italic"&amp;14 33 KV DP line with Suspension Insulators Labour Cost Analysis&amp;R
&amp;G</oddHeader>
    <oddFooter>&amp;L&amp;"-,Bold"&amp;14 2016-17&amp;RPage &amp;P of &amp;N</oddFooter>
  </headerFooter>
  <colBreaks count="1" manualBreakCount="1">
    <brk id="9" min="2" max="21" man="1"/>
  </colBreaks>
  <legacy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66"/>
  <sheetViews>
    <sheetView zoomScaleNormal="100" workbookViewId="0"/>
  </sheetViews>
  <sheetFormatPr defaultRowHeight="15" x14ac:dyDescent="0.25"/>
  <cols>
    <col min="1" max="1" width="9.140625" style="46"/>
    <col min="2" max="2" width="5" style="46" bestFit="1" customWidth="1"/>
    <col min="3" max="3" width="6" style="46" customWidth="1"/>
    <col min="4" max="4" width="49.140625" style="46" customWidth="1"/>
    <col min="5" max="5" width="5.85546875" style="54" customWidth="1"/>
    <col min="6" max="6" width="5.5703125" style="46" customWidth="1"/>
    <col min="7" max="7" width="10.7109375" style="46" bestFit="1" customWidth="1"/>
    <col min="8" max="8" width="11.5703125" style="46" bestFit="1" customWidth="1"/>
    <col min="9" max="16384" width="9.140625" style="46"/>
  </cols>
  <sheetData>
    <row r="2" spans="2:9" ht="49.5" customHeight="1" x14ac:dyDescent="0.25">
      <c r="C2" s="95"/>
      <c r="D2" s="447" t="s">
        <v>694</v>
      </c>
      <c r="E2" s="448"/>
      <c r="F2" s="448"/>
      <c r="G2" s="448"/>
      <c r="H2" s="449"/>
    </row>
    <row r="3" spans="2:9" ht="25.5" x14ac:dyDescent="0.25">
      <c r="B3" s="81" t="s">
        <v>114</v>
      </c>
      <c r="C3" s="81" t="s">
        <v>229</v>
      </c>
      <c r="D3" s="81" t="s">
        <v>230</v>
      </c>
      <c r="E3" s="81" t="s">
        <v>0</v>
      </c>
      <c r="F3" s="81" t="s">
        <v>107</v>
      </c>
      <c r="G3" s="81" t="s">
        <v>231</v>
      </c>
      <c r="H3" s="81" t="s">
        <v>232</v>
      </c>
      <c r="I3" s="56"/>
    </row>
    <row r="4" spans="2:9" ht="25.5" x14ac:dyDescent="0.25">
      <c r="B4" s="41">
        <v>1</v>
      </c>
      <c r="C4" s="88">
        <v>103.1</v>
      </c>
      <c r="D4" s="42" t="s">
        <v>540</v>
      </c>
      <c r="E4" s="41" t="s">
        <v>157</v>
      </c>
      <c r="F4" s="42">
        <v>6</v>
      </c>
      <c r="G4" s="50">
        <v>12821.372923978555</v>
      </c>
      <c r="H4" s="50">
        <f t="shared" ref="H4:H46" si="0">F4*G4</f>
        <v>76928.237543871335</v>
      </c>
    </row>
    <row r="5" spans="2:9" ht="15" customHeight="1" x14ac:dyDescent="0.25">
      <c r="B5" s="41">
        <v>2</v>
      </c>
      <c r="C5" s="41" t="s">
        <v>435</v>
      </c>
      <c r="D5" s="42" t="s">
        <v>436</v>
      </c>
      <c r="E5" s="41" t="s">
        <v>158</v>
      </c>
      <c r="F5" s="42">
        <v>2</v>
      </c>
      <c r="G5" s="50">
        <v>35904.6</v>
      </c>
      <c r="H5" s="50">
        <f t="shared" si="0"/>
        <v>71809.2</v>
      </c>
    </row>
    <row r="6" spans="2:9" ht="15" customHeight="1" x14ac:dyDescent="0.25">
      <c r="B6" s="41">
        <v>3</v>
      </c>
      <c r="C6" s="72">
        <v>3.1</v>
      </c>
      <c r="D6" s="57" t="s">
        <v>541</v>
      </c>
      <c r="E6" s="41" t="s">
        <v>158</v>
      </c>
      <c r="F6" s="42">
        <v>2</v>
      </c>
      <c r="G6" s="50">
        <v>22935.528179257748</v>
      </c>
      <c r="H6" s="50">
        <f t="shared" si="0"/>
        <v>45871.056358515496</v>
      </c>
    </row>
    <row r="7" spans="2:9" ht="25.5" x14ac:dyDescent="0.25">
      <c r="B7" s="41">
        <v>4</v>
      </c>
      <c r="C7" s="41" t="s">
        <v>442</v>
      </c>
      <c r="D7" s="82" t="s">
        <v>443</v>
      </c>
      <c r="E7" s="41" t="s">
        <v>158</v>
      </c>
      <c r="F7" s="42">
        <v>2</v>
      </c>
      <c r="G7" s="50">
        <v>53431.8</v>
      </c>
      <c r="H7" s="50">
        <f t="shared" si="0"/>
        <v>106863.6</v>
      </c>
    </row>
    <row r="8" spans="2:9" ht="25.5" x14ac:dyDescent="0.25">
      <c r="B8" s="41">
        <v>5</v>
      </c>
      <c r="C8" s="41" t="s">
        <v>444</v>
      </c>
      <c r="D8" s="87" t="s">
        <v>445</v>
      </c>
      <c r="E8" s="41" t="s">
        <v>158</v>
      </c>
      <c r="F8" s="42">
        <v>2</v>
      </c>
      <c r="G8" s="50">
        <v>35904.6</v>
      </c>
      <c r="H8" s="50">
        <f t="shared" si="0"/>
        <v>71809.2</v>
      </c>
    </row>
    <row r="9" spans="2:9" x14ac:dyDescent="0.25">
      <c r="B9" s="41">
        <v>6</v>
      </c>
      <c r="C9" s="86">
        <v>191.1</v>
      </c>
      <c r="D9" s="82" t="s">
        <v>449</v>
      </c>
      <c r="E9" s="41" t="s">
        <v>158</v>
      </c>
      <c r="F9" s="42">
        <v>2</v>
      </c>
      <c r="G9" s="50">
        <v>78281.50496141125</v>
      </c>
      <c r="H9" s="50">
        <f t="shared" si="0"/>
        <v>156563.0099228225</v>
      </c>
    </row>
    <row r="10" spans="2:9" x14ac:dyDescent="0.25">
      <c r="B10" s="41">
        <v>7</v>
      </c>
      <c r="C10" s="41" t="s">
        <v>439</v>
      </c>
      <c r="D10" s="82" t="s">
        <v>440</v>
      </c>
      <c r="E10" s="41" t="s">
        <v>158</v>
      </c>
      <c r="F10" s="42">
        <v>4</v>
      </c>
      <c r="G10" s="50">
        <v>35904.6</v>
      </c>
      <c r="H10" s="50">
        <f t="shared" si="0"/>
        <v>143618.4</v>
      </c>
    </row>
    <row r="11" spans="2:9" x14ac:dyDescent="0.25">
      <c r="B11" s="41">
        <v>8</v>
      </c>
      <c r="C11" s="41">
        <v>20.100000000000001</v>
      </c>
      <c r="D11" s="42" t="s">
        <v>283</v>
      </c>
      <c r="E11" s="41" t="s">
        <v>234</v>
      </c>
      <c r="F11" s="42">
        <v>1</v>
      </c>
      <c r="G11" s="50">
        <v>167541.89310915105</v>
      </c>
      <c r="H11" s="50">
        <f t="shared" si="0"/>
        <v>167541.89310915105</v>
      </c>
    </row>
    <row r="12" spans="2:9" x14ac:dyDescent="0.25">
      <c r="B12" s="41">
        <v>9</v>
      </c>
      <c r="C12" s="72">
        <v>99.1</v>
      </c>
      <c r="D12" s="152" t="s">
        <v>433</v>
      </c>
      <c r="E12" s="41" t="s">
        <v>157</v>
      </c>
      <c r="F12" s="42">
        <v>18</v>
      </c>
      <c r="G12" s="50">
        <v>450.17264933080259</v>
      </c>
      <c r="H12" s="50">
        <f t="shared" si="0"/>
        <v>8103.1076879544462</v>
      </c>
    </row>
    <row r="13" spans="2:9" x14ac:dyDescent="0.25">
      <c r="B13" s="41">
        <v>10</v>
      </c>
      <c r="C13" s="41">
        <v>100.1</v>
      </c>
      <c r="D13" s="82" t="s">
        <v>434</v>
      </c>
      <c r="E13" s="41" t="s">
        <v>157</v>
      </c>
      <c r="F13" s="42">
        <v>36</v>
      </c>
      <c r="G13" s="50">
        <v>660.65706873623617</v>
      </c>
      <c r="H13" s="50">
        <f t="shared" si="0"/>
        <v>23783.654474504503</v>
      </c>
    </row>
    <row r="14" spans="2:9" x14ac:dyDescent="0.25">
      <c r="B14" s="41">
        <v>11</v>
      </c>
      <c r="C14" s="72">
        <v>3.1</v>
      </c>
      <c r="D14" s="57" t="s">
        <v>542</v>
      </c>
      <c r="E14" s="41" t="s">
        <v>158</v>
      </c>
      <c r="F14" s="42">
        <v>2</v>
      </c>
      <c r="G14" s="50">
        <v>22935.528179257748</v>
      </c>
      <c r="H14" s="50">
        <f t="shared" si="0"/>
        <v>45871.056358515496</v>
      </c>
    </row>
    <row r="15" spans="2:9" x14ac:dyDescent="0.25">
      <c r="B15" s="41">
        <v>12</v>
      </c>
      <c r="C15" s="41" t="s">
        <v>437</v>
      </c>
      <c r="D15" s="82" t="s">
        <v>438</v>
      </c>
      <c r="E15" s="41" t="s">
        <v>158</v>
      </c>
      <c r="F15" s="42">
        <v>6</v>
      </c>
      <c r="G15" s="50">
        <v>17265.599999999999</v>
      </c>
      <c r="H15" s="50">
        <f>F15*G15</f>
        <v>103593.59999999999</v>
      </c>
    </row>
    <row r="16" spans="2:9" x14ac:dyDescent="0.25">
      <c r="B16" s="41">
        <v>13</v>
      </c>
      <c r="C16" s="41">
        <v>85.1</v>
      </c>
      <c r="D16" s="42" t="s">
        <v>284</v>
      </c>
      <c r="E16" s="41" t="s">
        <v>158</v>
      </c>
      <c r="F16" s="42">
        <v>3</v>
      </c>
      <c r="G16" s="50">
        <v>640.14633770239027</v>
      </c>
      <c r="H16" s="50">
        <f t="shared" si="0"/>
        <v>1920.4390131071709</v>
      </c>
    </row>
    <row r="17" spans="2:8" x14ac:dyDescent="0.25">
      <c r="B17" s="41">
        <v>14</v>
      </c>
      <c r="C17" s="41" t="s">
        <v>441</v>
      </c>
      <c r="D17" s="82" t="s">
        <v>543</v>
      </c>
      <c r="E17" s="41" t="s">
        <v>158</v>
      </c>
      <c r="F17" s="42">
        <v>3</v>
      </c>
      <c r="G17" s="50">
        <v>3629.7000000000003</v>
      </c>
      <c r="H17" s="50">
        <f t="shared" si="0"/>
        <v>10889.1</v>
      </c>
    </row>
    <row r="18" spans="2:8" x14ac:dyDescent="0.25">
      <c r="B18" s="41">
        <v>15</v>
      </c>
      <c r="C18" s="86">
        <v>162.1</v>
      </c>
      <c r="D18" s="42" t="s">
        <v>285</v>
      </c>
      <c r="E18" s="41" t="s">
        <v>286</v>
      </c>
      <c r="F18" s="42">
        <v>100</v>
      </c>
      <c r="G18" s="50">
        <v>475.06615214994486</v>
      </c>
      <c r="H18" s="50">
        <f t="shared" si="0"/>
        <v>47506.615214994483</v>
      </c>
    </row>
    <row r="19" spans="2:8" x14ac:dyDescent="0.25">
      <c r="B19" s="41">
        <v>16</v>
      </c>
      <c r="C19" s="86">
        <v>125.1</v>
      </c>
      <c r="D19" s="42" t="s">
        <v>287</v>
      </c>
      <c r="E19" s="41" t="s">
        <v>157</v>
      </c>
      <c r="F19" s="42">
        <v>150</v>
      </c>
      <c r="G19" s="50">
        <v>167.05622932745314</v>
      </c>
      <c r="H19" s="50">
        <f t="shared" si="0"/>
        <v>25058.43439911797</v>
      </c>
    </row>
    <row r="20" spans="2:8" ht="25.5" x14ac:dyDescent="0.25">
      <c r="B20" s="41">
        <v>17</v>
      </c>
      <c r="C20" s="86">
        <v>192.3</v>
      </c>
      <c r="D20" s="57" t="s">
        <v>845</v>
      </c>
      <c r="E20" s="41" t="s">
        <v>158</v>
      </c>
      <c r="F20" s="42">
        <v>4</v>
      </c>
      <c r="G20" s="237">
        <v>432394.38970958651</v>
      </c>
      <c r="H20" s="237">
        <f t="shared" si="0"/>
        <v>1729577.558838346</v>
      </c>
    </row>
    <row r="21" spans="2:8" ht="25.5" x14ac:dyDescent="0.25">
      <c r="B21" s="41">
        <v>18</v>
      </c>
      <c r="C21" s="72" t="s">
        <v>678</v>
      </c>
      <c r="D21" s="82" t="s">
        <v>679</v>
      </c>
      <c r="E21" s="41" t="s">
        <v>157</v>
      </c>
      <c r="F21" s="42">
        <v>2</v>
      </c>
      <c r="G21" s="50">
        <v>3103901.8733021435</v>
      </c>
      <c r="H21" s="50">
        <f>F21*G21</f>
        <v>6207803.7466042871</v>
      </c>
    </row>
    <row r="22" spans="2:8" x14ac:dyDescent="0.25">
      <c r="B22" s="41">
        <v>19</v>
      </c>
      <c r="C22" s="86">
        <v>131.1</v>
      </c>
      <c r="D22" s="82" t="s">
        <v>448</v>
      </c>
      <c r="E22" s="41" t="s">
        <v>157</v>
      </c>
      <c r="F22" s="42">
        <v>2</v>
      </c>
      <c r="G22" s="50">
        <v>16708.467250360194</v>
      </c>
      <c r="H22" s="50">
        <f>F22*G22</f>
        <v>33416.934500720388</v>
      </c>
    </row>
    <row r="23" spans="2:8" x14ac:dyDescent="0.25">
      <c r="B23" s="41">
        <v>20</v>
      </c>
      <c r="C23" s="72">
        <v>28.1</v>
      </c>
      <c r="D23" s="152" t="s">
        <v>556</v>
      </c>
      <c r="E23" s="41" t="s">
        <v>695</v>
      </c>
      <c r="F23" s="42">
        <f>60/1000</f>
        <v>0.06</v>
      </c>
      <c r="G23" s="50">
        <v>947213.21577745769</v>
      </c>
      <c r="H23" s="50">
        <f>F23*G23</f>
        <v>56832.79294664746</v>
      </c>
    </row>
    <row r="24" spans="2:8" ht="76.5" x14ac:dyDescent="0.25">
      <c r="B24" s="41">
        <v>21</v>
      </c>
      <c r="C24" s="156">
        <v>193.1</v>
      </c>
      <c r="D24" s="82" t="s">
        <v>685</v>
      </c>
      <c r="E24" s="41" t="s">
        <v>157</v>
      </c>
      <c r="F24" s="42">
        <v>6</v>
      </c>
      <c r="G24" s="50">
        <v>266211.76516277529</v>
      </c>
      <c r="H24" s="50">
        <f t="shared" si="0"/>
        <v>1597270.5909766518</v>
      </c>
    </row>
    <row r="25" spans="2:8" ht="25.5" x14ac:dyDescent="0.25">
      <c r="B25" s="41">
        <v>22</v>
      </c>
      <c r="C25" s="72" t="s">
        <v>557</v>
      </c>
      <c r="D25" s="152" t="s">
        <v>558</v>
      </c>
      <c r="E25" s="41" t="s">
        <v>158</v>
      </c>
      <c r="F25" s="42">
        <v>1</v>
      </c>
      <c r="G25" s="50">
        <v>11460</v>
      </c>
      <c r="H25" s="50">
        <f>F25*G25</f>
        <v>11460</v>
      </c>
    </row>
    <row r="26" spans="2:8" ht="25.5" x14ac:dyDescent="0.25">
      <c r="B26" s="41">
        <v>23</v>
      </c>
      <c r="C26" s="72" t="s">
        <v>559</v>
      </c>
      <c r="D26" s="152" t="s">
        <v>560</v>
      </c>
      <c r="E26" s="41" t="s">
        <v>158</v>
      </c>
      <c r="F26" s="42">
        <v>1</v>
      </c>
      <c r="G26" s="50">
        <v>20602</v>
      </c>
      <c r="H26" s="50">
        <f>F26*G26</f>
        <v>20602</v>
      </c>
    </row>
    <row r="27" spans="2:8" ht="25.5" x14ac:dyDescent="0.25">
      <c r="B27" s="41">
        <v>24</v>
      </c>
      <c r="C27" s="72" t="s">
        <v>561</v>
      </c>
      <c r="D27" s="152" t="s">
        <v>562</v>
      </c>
      <c r="E27" s="41" t="s">
        <v>158</v>
      </c>
      <c r="F27" s="42">
        <v>3</v>
      </c>
      <c r="G27" s="50">
        <v>15749</v>
      </c>
      <c r="H27" s="50">
        <f>F27*G27</f>
        <v>47247</v>
      </c>
    </row>
    <row r="28" spans="2:8" ht="25.5" x14ac:dyDescent="0.25">
      <c r="B28" s="41">
        <v>25</v>
      </c>
      <c r="C28" s="72" t="s">
        <v>563</v>
      </c>
      <c r="D28" s="152" t="s">
        <v>564</v>
      </c>
      <c r="E28" s="41" t="s">
        <v>158</v>
      </c>
      <c r="F28" s="42">
        <v>3</v>
      </c>
      <c r="G28" s="50">
        <v>9427</v>
      </c>
      <c r="H28" s="50">
        <f>F28*G28</f>
        <v>28281</v>
      </c>
    </row>
    <row r="29" spans="2:8" x14ac:dyDescent="0.25">
      <c r="B29" s="41">
        <v>26</v>
      </c>
      <c r="C29" s="34" t="s">
        <v>565</v>
      </c>
      <c r="D29" s="152" t="s">
        <v>566</v>
      </c>
      <c r="E29" s="41" t="s">
        <v>234</v>
      </c>
      <c r="F29" s="42">
        <f>75/1000</f>
        <v>7.4999999999999997E-2</v>
      </c>
      <c r="G29" s="50">
        <v>507127.29690790211</v>
      </c>
      <c r="H29" s="50">
        <f t="shared" si="0"/>
        <v>38034.547268092654</v>
      </c>
    </row>
    <row r="30" spans="2:8" x14ac:dyDescent="0.25">
      <c r="B30" s="41">
        <v>27</v>
      </c>
      <c r="C30" s="41">
        <v>76.099999999999994</v>
      </c>
      <c r="D30" s="42" t="s">
        <v>288</v>
      </c>
      <c r="E30" s="41" t="s">
        <v>158</v>
      </c>
      <c r="F30" s="42">
        <v>1</v>
      </c>
      <c r="G30" s="50">
        <v>117235.50649248848</v>
      </c>
      <c r="H30" s="50">
        <f t="shared" si="0"/>
        <v>117235.50649248848</v>
      </c>
    </row>
    <row r="31" spans="2:8" x14ac:dyDescent="0.25">
      <c r="B31" s="41">
        <v>28</v>
      </c>
      <c r="C31" s="41">
        <v>77.099999999999994</v>
      </c>
      <c r="D31" s="42" t="s">
        <v>289</v>
      </c>
      <c r="E31" s="41" t="s">
        <v>158</v>
      </c>
      <c r="F31" s="42">
        <v>1</v>
      </c>
      <c r="G31" s="50">
        <v>47959.979928745292</v>
      </c>
      <c r="H31" s="50">
        <f t="shared" si="0"/>
        <v>47959.979928745292</v>
      </c>
    </row>
    <row r="32" spans="2:8" x14ac:dyDescent="0.25">
      <c r="B32" s="41">
        <v>29</v>
      </c>
      <c r="C32" s="41">
        <v>139.1</v>
      </c>
      <c r="D32" s="42" t="s">
        <v>290</v>
      </c>
      <c r="E32" s="41" t="s">
        <v>222</v>
      </c>
      <c r="F32" s="42">
        <v>60</v>
      </c>
      <c r="G32" s="50">
        <v>76.030360958056903</v>
      </c>
      <c r="H32" s="50">
        <f t="shared" si="0"/>
        <v>4561.8216574834141</v>
      </c>
    </row>
    <row r="33" spans="2:8" x14ac:dyDescent="0.25">
      <c r="B33" s="41">
        <v>30</v>
      </c>
      <c r="C33" s="41">
        <v>64.099999999999994</v>
      </c>
      <c r="D33" s="42" t="s">
        <v>291</v>
      </c>
      <c r="E33" s="41" t="s">
        <v>157</v>
      </c>
      <c r="F33" s="42">
        <v>8</v>
      </c>
      <c r="G33" s="50">
        <v>2930.8876623122119</v>
      </c>
      <c r="H33" s="50">
        <f t="shared" si="0"/>
        <v>23447.101298497695</v>
      </c>
    </row>
    <row r="34" spans="2:8" x14ac:dyDescent="0.25">
      <c r="B34" s="41">
        <v>31</v>
      </c>
      <c r="C34" s="41">
        <v>117.1</v>
      </c>
      <c r="D34" s="42" t="s">
        <v>293</v>
      </c>
      <c r="E34" s="41" t="s">
        <v>158</v>
      </c>
      <c r="F34" s="42">
        <v>1</v>
      </c>
      <c r="G34" s="50">
        <v>60188.940540564668</v>
      </c>
      <c r="H34" s="50">
        <f t="shared" si="0"/>
        <v>60188.940540564668</v>
      </c>
    </row>
    <row r="35" spans="2:8" ht="25.5" x14ac:dyDescent="0.25">
      <c r="B35" s="41">
        <v>32</v>
      </c>
      <c r="C35" s="72">
        <v>168.1</v>
      </c>
      <c r="D35" s="42" t="s">
        <v>294</v>
      </c>
      <c r="E35" s="41" t="s">
        <v>295</v>
      </c>
      <c r="F35" s="42">
        <v>2</v>
      </c>
      <c r="G35" s="50">
        <v>3390.5431238052402</v>
      </c>
      <c r="H35" s="50">
        <f t="shared" si="0"/>
        <v>6781.0862476104803</v>
      </c>
    </row>
    <row r="36" spans="2:8" x14ac:dyDescent="0.25">
      <c r="B36" s="41">
        <v>33</v>
      </c>
      <c r="C36" s="41">
        <v>15.1</v>
      </c>
      <c r="D36" s="42" t="s">
        <v>296</v>
      </c>
      <c r="E36" s="41" t="s">
        <v>286</v>
      </c>
      <c r="F36" s="42">
        <v>600</v>
      </c>
      <c r="G36" s="50">
        <v>41.043877551020401</v>
      </c>
      <c r="H36" s="50">
        <f t="shared" si="0"/>
        <v>24626.326530612241</v>
      </c>
    </row>
    <row r="37" spans="2:8" x14ac:dyDescent="0.25">
      <c r="B37" s="41">
        <v>34</v>
      </c>
      <c r="C37" s="41" t="s">
        <v>843</v>
      </c>
      <c r="D37" s="42" t="s">
        <v>844</v>
      </c>
      <c r="E37" s="41" t="s">
        <v>286</v>
      </c>
      <c r="F37" s="42">
        <v>1300</v>
      </c>
      <c r="G37" s="50">
        <v>128.49851576994433</v>
      </c>
      <c r="H37" s="50">
        <f t="shared" si="0"/>
        <v>167048.07050092763</v>
      </c>
    </row>
    <row r="38" spans="2:8" x14ac:dyDescent="0.25">
      <c r="B38" s="41">
        <v>35</v>
      </c>
      <c r="C38" s="41">
        <v>16.100000000000001</v>
      </c>
      <c r="D38" s="42" t="s">
        <v>297</v>
      </c>
      <c r="E38" s="41" t="s">
        <v>286</v>
      </c>
      <c r="F38" s="42">
        <v>600</v>
      </c>
      <c r="G38" s="50">
        <v>190.95881261595548</v>
      </c>
      <c r="H38" s="50">
        <f t="shared" si="0"/>
        <v>114575.28756957329</v>
      </c>
    </row>
    <row r="39" spans="2:8" x14ac:dyDescent="0.25">
      <c r="B39" s="41">
        <v>36</v>
      </c>
      <c r="C39" s="41">
        <v>13.1</v>
      </c>
      <c r="D39" s="42" t="s">
        <v>298</v>
      </c>
      <c r="E39" s="41" t="s">
        <v>286</v>
      </c>
      <c r="F39" s="42">
        <v>600</v>
      </c>
      <c r="G39" s="50">
        <v>65.424860853432278</v>
      </c>
      <c r="H39" s="50">
        <f t="shared" si="0"/>
        <v>39254.916512059368</v>
      </c>
    </row>
    <row r="40" spans="2:8" ht="76.5" x14ac:dyDescent="0.25">
      <c r="B40" s="41">
        <v>37</v>
      </c>
      <c r="C40" s="41" t="s">
        <v>299</v>
      </c>
      <c r="D40" s="42" t="s">
        <v>300</v>
      </c>
      <c r="E40" s="41" t="s">
        <v>158</v>
      </c>
      <c r="F40" s="42">
        <v>2</v>
      </c>
      <c r="G40" s="50">
        <v>1286393.2394221236</v>
      </c>
      <c r="H40" s="50">
        <f t="shared" si="0"/>
        <v>2572786.4788442473</v>
      </c>
    </row>
    <row r="41" spans="2:8" x14ac:dyDescent="0.25">
      <c r="B41" s="41">
        <v>38</v>
      </c>
      <c r="C41" s="41">
        <v>17.100000000000001</v>
      </c>
      <c r="D41" s="42" t="s">
        <v>244</v>
      </c>
      <c r="E41" s="41" t="s">
        <v>222</v>
      </c>
      <c r="F41" s="42">
        <v>20</v>
      </c>
      <c r="G41" s="50">
        <v>258.22244052676297</v>
      </c>
      <c r="H41" s="50">
        <f t="shared" si="0"/>
        <v>5164.4488105352593</v>
      </c>
    </row>
    <row r="42" spans="2:8" x14ac:dyDescent="0.25">
      <c r="B42" s="41">
        <v>39</v>
      </c>
      <c r="C42" s="41">
        <v>18.100000000000001</v>
      </c>
      <c r="D42" s="42" t="s">
        <v>301</v>
      </c>
      <c r="E42" s="41" t="s">
        <v>222</v>
      </c>
      <c r="F42" s="42">
        <v>24</v>
      </c>
      <c r="G42" s="50">
        <v>72.887734862758151</v>
      </c>
      <c r="H42" s="50">
        <f t="shared" si="0"/>
        <v>1749.3056367061956</v>
      </c>
    </row>
    <row r="43" spans="2:8" x14ac:dyDescent="0.25">
      <c r="B43" s="41">
        <v>40</v>
      </c>
      <c r="C43" s="41">
        <v>122.1</v>
      </c>
      <c r="D43" s="42" t="s">
        <v>302</v>
      </c>
      <c r="E43" s="41" t="s">
        <v>222</v>
      </c>
      <c r="F43" s="42">
        <v>75</v>
      </c>
      <c r="G43" s="50">
        <v>75.281771306660772</v>
      </c>
      <c r="H43" s="50">
        <f t="shared" si="0"/>
        <v>5646.1328479995582</v>
      </c>
    </row>
    <row r="44" spans="2:8" x14ac:dyDescent="0.25">
      <c r="B44" s="41">
        <v>41</v>
      </c>
      <c r="C44" s="41">
        <v>124.1</v>
      </c>
      <c r="D44" s="42" t="s">
        <v>303</v>
      </c>
      <c r="E44" s="41" t="s">
        <v>222</v>
      </c>
      <c r="F44" s="42">
        <v>20</v>
      </c>
      <c r="G44" s="50">
        <v>248.75177003681679</v>
      </c>
      <c r="H44" s="50">
        <f t="shared" si="0"/>
        <v>4975.0354007363358</v>
      </c>
    </row>
    <row r="45" spans="2:8" x14ac:dyDescent="0.25">
      <c r="B45" s="41">
        <v>42</v>
      </c>
      <c r="C45" s="41">
        <v>137.1</v>
      </c>
      <c r="D45" s="42" t="s">
        <v>304</v>
      </c>
      <c r="E45" s="41" t="s">
        <v>305</v>
      </c>
      <c r="F45" s="42">
        <v>80</v>
      </c>
      <c r="G45" s="50">
        <v>281.36521558197234</v>
      </c>
      <c r="H45" s="50">
        <f t="shared" si="0"/>
        <v>22509.217246557786</v>
      </c>
    </row>
    <row r="46" spans="2:8" x14ac:dyDescent="0.25">
      <c r="B46" s="41">
        <v>43</v>
      </c>
      <c r="C46" s="41">
        <v>138.1</v>
      </c>
      <c r="D46" s="42" t="s">
        <v>306</v>
      </c>
      <c r="E46" s="41" t="s">
        <v>305</v>
      </c>
      <c r="F46" s="42">
        <v>150</v>
      </c>
      <c r="G46" s="50">
        <v>158.11743185527106</v>
      </c>
      <c r="H46" s="50">
        <f t="shared" si="0"/>
        <v>23717.614778290659</v>
      </c>
    </row>
    <row r="47" spans="2:8" ht="25.5" x14ac:dyDescent="0.25">
      <c r="B47" s="41">
        <v>44</v>
      </c>
      <c r="C47" s="41" t="s">
        <v>446</v>
      </c>
      <c r="D47" s="87" t="s">
        <v>447</v>
      </c>
      <c r="E47" s="41" t="s">
        <v>158</v>
      </c>
      <c r="F47" s="42">
        <v>3</v>
      </c>
      <c r="G47" s="50">
        <v>35904.6</v>
      </c>
      <c r="H47" s="50">
        <f>F47*G47</f>
        <v>107713.79999999999</v>
      </c>
    </row>
    <row r="48" spans="2:8" ht="25.5" x14ac:dyDescent="0.25">
      <c r="B48" s="41">
        <v>45</v>
      </c>
      <c r="C48" s="41">
        <v>116.1</v>
      </c>
      <c r="D48" s="42" t="s">
        <v>292</v>
      </c>
      <c r="E48" s="41" t="s">
        <v>158</v>
      </c>
      <c r="F48" s="42">
        <v>12</v>
      </c>
      <c r="G48" s="50">
        <v>5079.8818561502549</v>
      </c>
      <c r="H48" s="50">
        <f>F48*G48</f>
        <v>60958.582273803055</v>
      </c>
    </row>
    <row r="49" spans="2:8" ht="25.5" x14ac:dyDescent="0.25">
      <c r="B49" s="41">
        <v>46</v>
      </c>
      <c r="C49" s="41" t="s">
        <v>675</v>
      </c>
      <c r="D49" s="82" t="s">
        <v>676</v>
      </c>
      <c r="E49" s="41" t="s">
        <v>158</v>
      </c>
      <c r="F49" s="42">
        <v>12</v>
      </c>
      <c r="G49" s="50">
        <v>1212</v>
      </c>
      <c r="H49" s="50">
        <f>F49*G49</f>
        <v>14544</v>
      </c>
    </row>
    <row r="50" spans="2:8" x14ac:dyDescent="0.25">
      <c r="B50" s="94" t="s">
        <v>74</v>
      </c>
      <c r="C50" s="450" t="s">
        <v>254</v>
      </c>
      <c r="D50" s="450"/>
      <c r="E50" s="450"/>
      <c r="F50" s="450"/>
      <c r="G50" s="450"/>
      <c r="H50" s="242">
        <f>SUM(H4:H49)</f>
        <v>14303700.428334741</v>
      </c>
    </row>
    <row r="51" spans="2:8" x14ac:dyDescent="0.25">
      <c r="B51" s="41" t="s">
        <v>75</v>
      </c>
      <c r="C51" s="446" t="s">
        <v>255</v>
      </c>
      <c r="D51" s="446"/>
      <c r="E51" s="446"/>
      <c r="F51" s="52" t="s">
        <v>227</v>
      </c>
      <c r="G51" s="53">
        <v>0.03</v>
      </c>
      <c r="H51" s="237">
        <f t="shared" ref="H51:H56" si="1">G51*$H$50</f>
        <v>429111.0128500422</v>
      </c>
    </row>
    <row r="52" spans="2:8" x14ac:dyDescent="0.25">
      <c r="B52" s="41" t="s">
        <v>76</v>
      </c>
      <c r="C52" s="446" t="s">
        <v>256</v>
      </c>
      <c r="D52" s="446"/>
      <c r="E52" s="446"/>
      <c r="F52" s="52" t="s">
        <v>227</v>
      </c>
      <c r="G52" s="53">
        <v>0.03</v>
      </c>
      <c r="H52" s="237">
        <f t="shared" si="1"/>
        <v>429111.0128500422</v>
      </c>
    </row>
    <row r="53" spans="2:8" x14ac:dyDescent="0.25">
      <c r="B53" s="41" t="s">
        <v>77</v>
      </c>
      <c r="C53" s="446" t="s">
        <v>257</v>
      </c>
      <c r="D53" s="446"/>
      <c r="E53" s="446"/>
      <c r="F53" s="52" t="s">
        <v>227</v>
      </c>
      <c r="G53" s="53">
        <v>0.03</v>
      </c>
      <c r="H53" s="237">
        <f t="shared" si="1"/>
        <v>429111.0128500422</v>
      </c>
    </row>
    <row r="54" spans="2:8" x14ac:dyDescent="0.25">
      <c r="B54" s="41" t="s">
        <v>78</v>
      </c>
      <c r="C54" s="446" t="s">
        <v>258</v>
      </c>
      <c r="D54" s="446"/>
      <c r="E54" s="446"/>
      <c r="F54" s="52" t="s">
        <v>227</v>
      </c>
      <c r="G54" s="53">
        <v>0.04</v>
      </c>
      <c r="H54" s="237">
        <f t="shared" si="1"/>
        <v>572148.0171333896</v>
      </c>
    </row>
    <row r="55" spans="2:8" x14ac:dyDescent="0.25">
      <c r="B55" s="41" t="s">
        <v>213</v>
      </c>
      <c r="C55" s="446" t="s">
        <v>259</v>
      </c>
      <c r="D55" s="446"/>
      <c r="E55" s="446"/>
      <c r="F55" s="52" t="s">
        <v>227</v>
      </c>
      <c r="G55" s="53">
        <v>0.02</v>
      </c>
      <c r="H55" s="237">
        <f t="shared" si="1"/>
        <v>286074.0085666948</v>
      </c>
    </row>
    <row r="56" spans="2:8" x14ac:dyDescent="0.25">
      <c r="B56" s="41" t="s">
        <v>92</v>
      </c>
      <c r="C56" s="446" t="s">
        <v>260</v>
      </c>
      <c r="D56" s="446"/>
      <c r="E56" s="446"/>
      <c r="F56" s="52" t="s">
        <v>227</v>
      </c>
      <c r="G56" s="53">
        <v>0.1</v>
      </c>
      <c r="H56" s="237">
        <f t="shared" si="1"/>
        <v>1430370.0428334742</v>
      </c>
    </row>
    <row r="57" spans="2:8" x14ac:dyDescent="0.25">
      <c r="B57" s="352" t="s">
        <v>93</v>
      </c>
      <c r="C57" s="451" t="s">
        <v>261</v>
      </c>
      <c r="D57" s="452"/>
      <c r="E57" s="453"/>
      <c r="F57" s="457" t="s">
        <v>144</v>
      </c>
      <c r="G57" s="458"/>
      <c r="H57" s="237">
        <f>'33-11 KV PSS labour'!K58</f>
        <v>1947565.9943108752</v>
      </c>
    </row>
    <row r="58" spans="2:8" x14ac:dyDescent="0.25">
      <c r="B58" s="353"/>
      <c r="C58" s="454"/>
      <c r="D58" s="455"/>
      <c r="E58" s="456"/>
      <c r="F58" s="457" t="s">
        <v>145</v>
      </c>
      <c r="G58" s="458"/>
      <c r="H58" s="237">
        <f>'33-11 KV PSS labour'!L58</f>
        <v>2270279.1574573885</v>
      </c>
    </row>
    <row r="59" spans="2:8" x14ac:dyDescent="0.25">
      <c r="B59" s="331" t="s">
        <v>94</v>
      </c>
      <c r="C59" s="355" t="s">
        <v>262</v>
      </c>
      <c r="D59" s="355"/>
      <c r="E59" s="355"/>
      <c r="F59" s="446" t="s">
        <v>144</v>
      </c>
      <c r="G59" s="446"/>
      <c r="H59" s="238">
        <f>SUM(H50:H57)</f>
        <v>19827191.529729303</v>
      </c>
    </row>
    <row r="60" spans="2:8" x14ac:dyDescent="0.25">
      <c r="B60" s="331"/>
      <c r="C60" s="355"/>
      <c r="D60" s="355"/>
      <c r="E60" s="355"/>
      <c r="F60" s="446" t="s">
        <v>145</v>
      </c>
      <c r="G60" s="446"/>
      <c r="H60" s="238">
        <f>SUM(H50:H56,H58)</f>
        <v>20149904.692875817</v>
      </c>
    </row>
    <row r="61" spans="2:8" ht="15" customHeight="1" x14ac:dyDescent="0.25"/>
    <row r="66" s="46" customFormat="1" ht="15" customHeight="1" x14ac:dyDescent="0.25"/>
  </sheetData>
  <mergeCells count="16">
    <mergeCell ref="B59:B60"/>
    <mergeCell ref="C59:E60"/>
    <mergeCell ref="F59:G59"/>
    <mergeCell ref="F60:G60"/>
    <mergeCell ref="C56:E56"/>
    <mergeCell ref="B57:B58"/>
    <mergeCell ref="C57:E58"/>
    <mergeCell ref="F57:G57"/>
    <mergeCell ref="F58:G58"/>
    <mergeCell ref="C54:E54"/>
    <mergeCell ref="C55:E55"/>
    <mergeCell ref="D2:H2"/>
    <mergeCell ref="C50:G50"/>
    <mergeCell ref="C51:E51"/>
    <mergeCell ref="C52:E52"/>
    <mergeCell ref="C53:E53"/>
  </mergeCells>
  <printOptions horizontalCentered="1"/>
  <pageMargins left="0.7" right="0.7" top="0.75" bottom="0.75" header="0.3" footer="0.3"/>
  <pageSetup paperSize="9" scale="87" orientation="portrait" r:id="rId1"/>
  <headerFooter>
    <oddFooter>Page &amp;P of &amp;N</oddFooter>
  </headerFooter>
  <rowBreaks count="1" manualBreakCount="1">
    <brk id="40" min="1" max="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60"/>
  <sheetViews>
    <sheetView zoomScaleNormal="100" workbookViewId="0"/>
  </sheetViews>
  <sheetFormatPr defaultRowHeight="15" x14ac:dyDescent="0.25"/>
  <cols>
    <col min="1" max="1" width="9.140625" style="46"/>
    <col min="2" max="2" width="5" style="46" bestFit="1" customWidth="1"/>
    <col min="3" max="3" width="6" style="46" bestFit="1" customWidth="1"/>
    <col min="4" max="4" width="49.140625" style="46" customWidth="1"/>
    <col min="5" max="5" width="5.85546875" style="54" customWidth="1"/>
    <col min="6" max="6" width="5.5703125" style="46" customWidth="1"/>
    <col min="7" max="7" width="10.7109375" style="46" bestFit="1" customWidth="1"/>
    <col min="8" max="8" width="11.5703125" style="46" bestFit="1" customWidth="1"/>
    <col min="9" max="16384" width="9.140625" style="46"/>
  </cols>
  <sheetData>
    <row r="2" spans="2:9" ht="49.5" customHeight="1" x14ac:dyDescent="0.25">
      <c r="C2" s="95"/>
      <c r="D2" s="447" t="s">
        <v>696</v>
      </c>
      <c r="E2" s="448"/>
      <c r="F2" s="448"/>
      <c r="G2" s="448"/>
      <c r="H2" s="449"/>
    </row>
    <row r="3" spans="2:9" ht="25.5" x14ac:dyDescent="0.25">
      <c r="B3" s="81" t="s">
        <v>114</v>
      </c>
      <c r="C3" s="81" t="s">
        <v>229</v>
      </c>
      <c r="D3" s="81" t="s">
        <v>230</v>
      </c>
      <c r="E3" s="81" t="s">
        <v>0</v>
      </c>
      <c r="F3" s="81" t="s">
        <v>107</v>
      </c>
      <c r="G3" s="81" t="s">
        <v>231</v>
      </c>
      <c r="H3" s="81" t="s">
        <v>232</v>
      </c>
      <c r="I3" s="56"/>
    </row>
    <row r="4" spans="2:9" ht="25.5" x14ac:dyDescent="0.25">
      <c r="B4" s="41">
        <v>1</v>
      </c>
      <c r="C4" s="88">
        <v>103.1</v>
      </c>
      <c r="D4" s="42" t="s">
        <v>540</v>
      </c>
      <c r="E4" s="41" t="s">
        <v>157</v>
      </c>
      <c r="F4" s="42">
        <v>6</v>
      </c>
      <c r="G4" s="50">
        <v>12821.372923978555</v>
      </c>
      <c r="H4" s="50">
        <f t="shared" ref="H4:H46" si="0">F4*G4</f>
        <v>76928.237543871335</v>
      </c>
    </row>
    <row r="5" spans="2:9" x14ac:dyDescent="0.25">
      <c r="B5" s="41">
        <v>2</v>
      </c>
      <c r="C5" s="41" t="s">
        <v>435</v>
      </c>
      <c r="D5" s="42" t="s">
        <v>436</v>
      </c>
      <c r="E5" s="41" t="s">
        <v>158</v>
      </c>
      <c r="F5" s="42">
        <v>2</v>
      </c>
      <c r="G5" s="50">
        <v>35904.6</v>
      </c>
      <c r="H5" s="50">
        <f t="shared" si="0"/>
        <v>71809.2</v>
      </c>
    </row>
    <row r="6" spans="2:9" x14ac:dyDescent="0.25">
      <c r="B6" s="41">
        <v>3</v>
      </c>
      <c r="C6" s="72">
        <v>3.1</v>
      </c>
      <c r="D6" s="57" t="s">
        <v>541</v>
      </c>
      <c r="E6" s="41" t="s">
        <v>158</v>
      </c>
      <c r="F6" s="42">
        <v>2</v>
      </c>
      <c r="G6" s="50">
        <v>22935.528179257748</v>
      </c>
      <c r="H6" s="50">
        <f t="shared" si="0"/>
        <v>45871.056358515496</v>
      </c>
    </row>
    <row r="7" spans="2:9" ht="25.5" x14ac:dyDescent="0.25">
      <c r="B7" s="41">
        <v>4</v>
      </c>
      <c r="C7" s="41" t="s">
        <v>442</v>
      </c>
      <c r="D7" s="82" t="s">
        <v>443</v>
      </c>
      <c r="E7" s="41" t="s">
        <v>158</v>
      </c>
      <c r="F7" s="42">
        <v>2</v>
      </c>
      <c r="G7" s="50">
        <v>53431.8</v>
      </c>
      <c r="H7" s="50">
        <f t="shared" si="0"/>
        <v>106863.6</v>
      </c>
    </row>
    <row r="8" spans="2:9" ht="25.5" x14ac:dyDescent="0.25">
      <c r="B8" s="41">
        <v>5</v>
      </c>
      <c r="C8" s="41" t="s">
        <v>444</v>
      </c>
      <c r="D8" s="87" t="s">
        <v>445</v>
      </c>
      <c r="E8" s="41" t="s">
        <v>158</v>
      </c>
      <c r="F8" s="42">
        <v>4</v>
      </c>
      <c r="G8" s="50">
        <v>35904.6</v>
      </c>
      <c r="H8" s="50">
        <f t="shared" si="0"/>
        <v>143618.4</v>
      </c>
    </row>
    <row r="9" spans="2:9" x14ac:dyDescent="0.25">
      <c r="B9" s="41">
        <v>6</v>
      </c>
      <c r="C9" s="86">
        <v>191.1</v>
      </c>
      <c r="D9" s="82" t="s">
        <v>449</v>
      </c>
      <c r="E9" s="41" t="s">
        <v>158</v>
      </c>
      <c r="F9" s="42">
        <v>2</v>
      </c>
      <c r="G9" s="50">
        <v>78281.50496141125</v>
      </c>
      <c r="H9" s="50">
        <f t="shared" si="0"/>
        <v>156563.0099228225</v>
      </c>
    </row>
    <row r="10" spans="2:9" x14ac:dyDescent="0.25">
      <c r="B10" s="41">
        <v>7</v>
      </c>
      <c r="C10" s="41" t="s">
        <v>439</v>
      </c>
      <c r="D10" s="82" t="s">
        <v>440</v>
      </c>
      <c r="E10" s="41" t="s">
        <v>158</v>
      </c>
      <c r="F10" s="42">
        <v>4</v>
      </c>
      <c r="G10" s="50">
        <v>35904.6</v>
      </c>
      <c r="H10" s="50">
        <f t="shared" si="0"/>
        <v>143618.4</v>
      </c>
    </row>
    <row r="11" spans="2:9" x14ac:dyDescent="0.25">
      <c r="B11" s="41">
        <v>8</v>
      </c>
      <c r="C11" s="41">
        <v>20.100000000000001</v>
      </c>
      <c r="D11" s="42" t="s">
        <v>283</v>
      </c>
      <c r="E11" s="41" t="s">
        <v>234</v>
      </c>
      <c r="F11" s="42">
        <v>1</v>
      </c>
      <c r="G11" s="50">
        <v>167541.89310915105</v>
      </c>
      <c r="H11" s="50">
        <f t="shared" si="0"/>
        <v>167541.89310915105</v>
      </c>
    </row>
    <row r="12" spans="2:9" x14ac:dyDescent="0.25">
      <c r="B12" s="41">
        <v>9</v>
      </c>
      <c r="C12" s="72">
        <v>99.1</v>
      </c>
      <c r="D12" s="152" t="s">
        <v>433</v>
      </c>
      <c r="E12" s="41" t="s">
        <v>157</v>
      </c>
      <c r="F12" s="42">
        <v>18</v>
      </c>
      <c r="G12" s="50">
        <v>450.17264933080259</v>
      </c>
      <c r="H12" s="50">
        <f t="shared" si="0"/>
        <v>8103.1076879544462</v>
      </c>
    </row>
    <row r="13" spans="2:9" x14ac:dyDescent="0.25">
      <c r="B13" s="41">
        <v>10</v>
      </c>
      <c r="C13" s="41">
        <v>100.1</v>
      </c>
      <c r="D13" s="82" t="s">
        <v>434</v>
      </c>
      <c r="E13" s="41" t="s">
        <v>157</v>
      </c>
      <c r="F13" s="42">
        <v>36</v>
      </c>
      <c r="G13" s="50">
        <v>660.65706873623617</v>
      </c>
      <c r="H13" s="50">
        <f t="shared" si="0"/>
        <v>23783.654474504503</v>
      </c>
    </row>
    <row r="14" spans="2:9" x14ac:dyDescent="0.25">
      <c r="B14" s="41">
        <v>11</v>
      </c>
      <c r="C14" s="72">
        <v>3.1</v>
      </c>
      <c r="D14" s="57" t="s">
        <v>542</v>
      </c>
      <c r="E14" s="41" t="s">
        <v>158</v>
      </c>
      <c r="F14" s="42">
        <v>2</v>
      </c>
      <c r="G14" s="50">
        <v>22935.528179257748</v>
      </c>
      <c r="H14" s="50">
        <f t="shared" si="0"/>
        <v>45871.056358515496</v>
      </c>
    </row>
    <row r="15" spans="2:9" x14ac:dyDescent="0.25">
      <c r="B15" s="41">
        <v>12</v>
      </c>
      <c r="C15" s="41" t="s">
        <v>437</v>
      </c>
      <c r="D15" s="82" t="s">
        <v>438</v>
      </c>
      <c r="E15" s="41" t="s">
        <v>158</v>
      </c>
      <c r="F15" s="42">
        <v>3</v>
      </c>
      <c r="G15" s="50">
        <v>17265.599999999999</v>
      </c>
      <c r="H15" s="50">
        <f>F15*G15</f>
        <v>51796.799999999996</v>
      </c>
    </row>
    <row r="16" spans="2:9" x14ac:dyDescent="0.25">
      <c r="B16" s="41">
        <v>13</v>
      </c>
      <c r="C16" s="41">
        <v>85.1</v>
      </c>
      <c r="D16" s="42" t="s">
        <v>284</v>
      </c>
      <c r="E16" s="41" t="s">
        <v>158</v>
      </c>
      <c r="F16" s="42">
        <v>1</v>
      </c>
      <c r="G16" s="50">
        <v>640.14633770239027</v>
      </c>
      <c r="H16" s="50">
        <f t="shared" si="0"/>
        <v>640.14633770239027</v>
      </c>
    </row>
    <row r="17" spans="2:8" x14ac:dyDescent="0.25">
      <c r="B17" s="41">
        <v>14</v>
      </c>
      <c r="C17" s="41" t="s">
        <v>441</v>
      </c>
      <c r="D17" s="82" t="s">
        <v>543</v>
      </c>
      <c r="E17" s="41" t="s">
        <v>158</v>
      </c>
      <c r="F17" s="42">
        <v>1</v>
      </c>
      <c r="G17" s="50">
        <v>3629.7000000000003</v>
      </c>
      <c r="H17" s="50">
        <f t="shared" si="0"/>
        <v>3629.7000000000003</v>
      </c>
    </row>
    <row r="18" spans="2:8" x14ac:dyDescent="0.25">
      <c r="B18" s="41">
        <v>15</v>
      </c>
      <c r="C18" s="86">
        <v>162.1</v>
      </c>
      <c r="D18" s="42" t="s">
        <v>285</v>
      </c>
      <c r="E18" s="41" t="s">
        <v>286</v>
      </c>
      <c r="F18" s="42">
        <v>100</v>
      </c>
      <c r="G18" s="50">
        <v>475.06615214994486</v>
      </c>
      <c r="H18" s="50">
        <f t="shared" si="0"/>
        <v>47506.615214994483</v>
      </c>
    </row>
    <row r="19" spans="2:8" x14ac:dyDescent="0.25">
      <c r="B19" s="41">
        <v>16</v>
      </c>
      <c r="C19" s="86">
        <v>125.1</v>
      </c>
      <c r="D19" s="42" t="s">
        <v>287</v>
      </c>
      <c r="E19" s="41" t="s">
        <v>157</v>
      </c>
      <c r="F19" s="42">
        <v>150</v>
      </c>
      <c r="G19" s="50">
        <v>167.05622932745314</v>
      </c>
      <c r="H19" s="50">
        <f t="shared" si="0"/>
        <v>25058.43439911797</v>
      </c>
    </row>
    <row r="20" spans="2:8" ht="25.5" x14ac:dyDescent="0.25">
      <c r="B20" s="41">
        <v>17</v>
      </c>
      <c r="C20" s="86">
        <v>192.3</v>
      </c>
      <c r="D20" s="57" t="s">
        <v>845</v>
      </c>
      <c r="E20" s="41" t="s">
        <v>158</v>
      </c>
      <c r="F20" s="42">
        <v>3</v>
      </c>
      <c r="G20" s="237">
        <v>432394.38970958651</v>
      </c>
      <c r="H20" s="237">
        <f t="shared" si="0"/>
        <v>1297183.1691287595</v>
      </c>
    </row>
    <row r="21" spans="2:8" ht="25.5" x14ac:dyDescent="0.25">
      <c r="B21" s="41">
        <v>18</v>
      </c>
      <c r="C21" s="72" t="s">
        <v>680</v>
      </c>
      <c r="D21" s="82" t="s">
        <v>681</v>
      </c>
      <c r="E21" s="41" t="s">
        <v>157</v>
      </c>
      <c r="F21" s="42">
        <v>1</v>
      </c>
      <c r="G21" s="237">
        <v>5340315.5335043771</v>
      </c>
      <c r="H21" s="237">
        <f t="shared" si="0"/>
        <v>5340315.5335043771</v>
      </c>
    </row>
    <row r="22" spans="2:8" x14ac:dyDescent="0.25">
      <c r="B22" s="41">
        <v>19</v>
      </c>
      <c r="C22" s="86">
        <v>131.1</v>
      </c>
      <c r="D22" s="82" t="s">
        <v>448</v>
      </c>
      <c r="E22" s="41" t="s">
        <v>157</v>
      </c>
      <c r="F22" s="42">
        <v>1</v>
      </c>
      <c r="G22" s="237">
        <v>16708.467250360194</v>
      </c>
      <c r="H22" s="237">
        <f t="shared" si="0"/>
        <v>16708.467250360194</v>
      </c>
    </row>
    <row r="23" spans="2:8" x14ac:dyDescent="0.25">
      <c r="B23" s="41">
        <v>20</v>
      </c>
      <c r="C23" s="34" t="s">
        <v>544</v>
      </c>
      <c r="D23" s="152" t="s">
        <v>545</v>
      </c>
      <c r="E23" s="41" t="s">
        <v>234</v>
      </c>
      <c r="F23" s="42">
        <f>30/1000</f>
        <v>0.03</v>
      </c>
      <c r="G23" s="237">
        <v>1072644.5518947488</v>
      </c>
      <c r="H23" s="237">
        <f t="shared" si="0"/>
        <v>32179.336556842463</v>
      </c>
    </row>
    <row r="24" spans="2:8" ht="76.5" x14ac:dyDescent="0.25">
      <c r="B24" s="41">
        <v>21</v>
      </c>
      <c r="C24" s="156">
        <v>193.1</v>
      </c>
      <c r="D24" s="82" t="s">
        <v>685</v>
      </c>
      <c r="E24" s="41" t="s">
        <v>157</v>
      </c>
      <c r="F24" s="42">
        <v>7</v>
      </c>
      <c r="G24" s="50">
        <v>266211.76516277529</v>
      </c>
      <c r="H24" s="50">
        <f t="shared" si="0"/>
        <v>1863482.3561394271</v>
      </c>
    </row>
    <row r="25" spans="2:8" ht="15" customHeight="1" x14ac:dyDescent="0.25">
      <c r="B25" s="41">
        <v>22</v>
      </c>
      <c r="C25" s="34" t="s">
        <v>546</v>
      </c>
      <c r="D25" s="152" t="s">
        <v>547</v>
      </c>
      <c r="E25" s="41" t="s">
        <v>234</v>
      </c>
      <c r="F25" s="42">
        <f>100/1000</f>
        <v>0.1</v>
      </c>
      <c r="G25" s="237">
        <v>830169.34667716187</v>
      </c>
      <c r="H25" s="237">
        <f t="shared" si="0"/>
        <v>83016.934667716196</v>
      </c>
    </row>
    <row r="26" spans="2:8" ht="25.5" x14ac:dyDescent="0.25">
      <c r="B26" s="41">
        <v>23</v>
      </c>
      <c r="C26" s="72" t="s">
        <v>548</v>
      </c>
      <c r="D26" s="152" t="s">
        <v>549</v>
      </c>
      <c r="E26" s="41" t="s">
        <v>158</v>
      </c>
      <c r="F26" s="42">
        <v>2</v>
      </c>
      <c r="G26" s="50">
        <v>11460</v>
      </c>
      <c r="H26" s="50">
        <f t="shared" si="0"/>
        <v>22920</v>
      </c>
    </row>
    <row r="27" spans="2:8" ht="25.5" x14ac:dyDescent="0.25">
      <c r="B27" s="41">
        <v>24</v>
      </c>
      <c r="C27" s="72" t="s">
        <v>550</v>
      </c>
      <c r="D27" s="152" t="s">
        <v>551</v>
      </c>
      <c r="E27" s="41" t="s">
        <v>158</v>
      </c>
      <c r="F27" s="42">
        <v>2</v>
      </c>
      <c r="G27" s="50">
        <v>20602</v>
      </c>
      <c r="H27" s="50">
        <f t="shared" si="0"/>
        <v>41204</v>
      </c>
    </row>
    <row r="28" spans="2:8" ht="25.5" x14ac:dyDescent="0.25">
      <c r="B28" s="41">
        <v>25</v>
      </c>
      <c r="C28" s="72" t="s">
        <v>552</v>
      </c>
      <c r="D28" s="152" t="s">
        <v>553</v>
      </c>
      <c r="E28" s="41" t="s">
        <v>158</v>
      </c>
      <c r="F28" s="42">
        <v>6</v>
      </c>
      <c r="G28" s="50">
        <v>11460</v>
      </c>
      <c r="H28" s="50">
        <f t="shared" si="0"/>
        <v>68760</v>
      </c>
    </row>
    <row r="29" spans="2:8" ht="25.5" x14ac:dyDescent="0.25">
      <c r="B29" s="41">
        <v>26</v>
      </c>
      <c r="C29" s="72" t="s">
        <v>554</v>
      </c>
      <c r="D29" s="152" t="s">
        <v>555</v>
      </c>
      <c r="E29" s="41" t="s">
        <v>158</v>
      </c>
      <c r="F29" s="42">
        <v>6</v>
      </c>
      <c r="G29" s="50">
        <v>18101</v>
      </c>
      <c r="H29" s="50">
        <f t="shared" si="0"/>
        <v>108606</v>
      </c>
    </row>
    <row r="30" spans="2:8" x14ac:dyDescent="0.25">
      <c r="B30" s="41">
        <v>27</v>
      </c>
      <c r="C30" s="41">
        <v>76.099999999999994</v>
      </c>
      <c r="D30" s="42" t="s">
        <v>288</v>
      </c>
      <c r="E30" s="41" t="s">
        <v>158</v>
      </c>
      <c r="F30" s="42">
        <v>1</v>
      </c>
      <c r="G30" s="50">
        <v>117235.50649248848</v>
      </c>
      <c r="H30" s="50">
        <f t="shared" si="0"/>
        <v>117235.50649248848</v>
      </c>
    </row>
    <row r="31" spans="2:8" x14ac:dyDescent="0.25">
      <c r="B31" s="41">
        <v>28</v>
      </c>
      <c r="C31" s="41">
        <v>77.099999999999994</v>
      </c>
      <c r="D31" s="42" t="s">
        <v>289</v>
      </c>
      <c r="E31" s="41" t="s">
        <v>158</v>
      </c>
      <c r="F31" s="42">
        <v>1</v>
      </c>
      <c r="G31" s="50">
        <v>47959.979928745292</v>
      </c>
      <c r="H31" s="50">
        <f t="shared" si="0"/>
        <v>47959.979928745292</v>
      </c>
    </row>
    <row r="32" spans="2:8" x14ac:dyDescent="0.25">
      <c r="B32" s="41">
        <v>29</v>
      </c>
      <c r="C32" s="41">
        <v>139.1</v>
      </c>
      <c r="D32" s="42" t="s">
        <v>290</v>
      </c>
      <c r="E32" s="41" t="s">
        <v>222</v>
      </c>
      <c r="F32" s="42">
        <v>60</v>
      </c>
      <c r="G32" s="50">
        <v>76.030360958056903</v>
      </c>
      <c r="H32" s="50">
        <f t="shared" si="0"/>
        <v>4561.8216574834141</v>
      </c>
    </row>
    <row r="33" spans="2:8" x14ac:dyDescent="0.25">
      <c r="B33" s="41">
        <v>30</v>
      </c>
      <c r="C33" s="41">
        <v>64.099999999999994</v>
      </c>
      <c r="D33" s="42" t="s">
        <v>291</v>
      </c>
      <c r="E33" s="41" t="s">
        <v>157</v>
      </c>
      <c r="F33" s="42">
        <v>4</v>
      </c>
      <c r="G33" s="50">
        <v>2930.8876623122119</v>
      </c>
      <c r="H33" s="50">
        <f t="shared" si="0"/>
        <v>11723.550649248848</v>
      </c>
    </row>
    <row r="34" spans="2:8" x14ac:dyDescent="0.25">
      <c r="B34" s="41">
        <v>31</v>
      </c>
      <c r="C34" s="41">
        <v>117.1</v>
      </c>
      <c r="D34" s="42" t="s">
        <v>293</v>
      </c>
      <c r="E34" s="41" t="s">
        <v>158</v>
      </c>
      <c r="F34" s="42">
        <v>1</v>
      </c>
      <c r="G34" s="50">
        <v>60188.940540564668</v>
      </c>
      <c r="H34" s="50">
        <f t="shared" si="0"/>
        <v>60188.940540564668</v>
      </c>
    </row>
    <row r="35" spans="2:8" ht="25.5" x14ac:dyDescent="0.25">
      <c r="B35" s="41">
        <v>32</v>
      </c>
      <c r="C35" s="72">
        <v>168.1</v>
      </c>
      <c r="D35" s="42" t="s">
        <v>294</v>
      </c>
      <c r="E35" s="41" t="s">
        <v>295</v>
      </c>
      <c r="F35" s="42">
        <v>4</v>
      </c>
      <c r="G35" s="50">
        <v>3390.5431238052402</v>
      </c>
      <c r="H35" s="50">
        <f t="shared" si="0"/>
        <v>13562.172495220961</v>
      </c>
    </row>
    <row r="36" spans="2:8" x14ac:dyDescent="0.25">
      <c r="B36" s="41">
        <v>33</v>
      </c>
      <c r="C36" s="41">
        <v>15.1</v>
      </c>
      <c r="D36" s="42" t="s">
        <v>296</v>
      </c>
      <c r="E36" s="41" t="s">
        <v>286</v>
      </c>
      <c r="F36" s="42">
        <v>600</v>
      </c>
      <c r="G36" s="50">
        <v>41.043877551020401</v>
      </c>
      <c r="H36" s="50">
        <f t="shared" si="0"/>
        <v>24626.326530612241</v>
      </c>
    </row>
    <row r="37" spans="2:8" x14ac:dyDescent="0.25">
      <c r="B37" s="41">
        <v>34</v>
      </c>
      <c r="C37" s="41" t="s">
        <v>843</v>
      </c>
      <c r="D37" s="42" t="s">
        <v>844</v>
      </c>
      <c r="E37" s="41" t="s">
        <v>286</v>
      </c>
      <c r="F37" s="42">
        <v>1300</v>
      </c>
      <c r="G37" s="50">
        <v>128.49851576994433</v>
      </c>
      <c r="H37" s="50">
        <f t="shared" si="0"/>
        <v>167048.07050092763</v>
      </c>
    </row>
    <row r="38" spans="2:8" x14ac:dyDescent="0.25">
      <c r="B38" s="41">
        <v>35</v>
      </c>
      <c r="C38" s="41">
        <v>16.100000000000001</v>
      </c>
      <c r="D38" s="42" t="s">
        <v>297</v>
      </c>
      <c r="E38" s="41" t="s">
        <v>286</v>
      </c>
      <c r="F38" s="42">
        <v>600</v>
      </c>
      <c r="G38" s="50">
        <v>190.95881261595548</v>
      </c>
      <c r="H38" s="50">
        <f t="shared" si="0"/>
        <v>114575.28756957329</v>
      </c>
    </row>
    <row r="39" spans="2:8" x14ac:dyDescent="0.25">
      <c r="B39" s="41">
        <v>36</v>
      </c>
      <c r="C39" s="41">
        <v>13.1</v>
      </c>
      <c r="D39" s="42" t="s">
        <v>298</v>
      </c>
      <c r="E39" s="41" t="s">
        <v>286</v>
      </c>
      <c r="F39" s="42">
        <v>600</v>
      </c>
      <c r="G39" s="50">
        <v>65.424860853432278</v>
      </c>
      <c r="H39" s="50">
        <f t="shared" si="0"/>
        <v>39254.916512059368</v>
      </c>
    </row>
    <row r="40" spans="2:8" ht="76.5" x14ac:dyDescent="0.25">
      <c r="B40" s="41">
        <v>37</v>
      </c>
      <c r="C40" s="41" t="s">
        <v>299</v>
      </c>
      <c r="D40" s="42" t="s">
        <v>300</v>
      </c>
      <c r="E40" s="41" t="s">
        <v>158</v>
      </c>
      <c r="F40" s="42">
        <v>1</v>
      </c>
      <c r="G40" s="50">
        <v>1286393.2394221236</v>
      </c>
      <c r="H40" s="50">
        <f t="shared" si="0"/>
        <v>1286393.2394221236</v>
      </c>
    </row>
    <row r="41" spans="2:8" x14ac:dyDescent="0.25">
      <c r="B41" s="41">
        <v>38</v>
      </c>
      <c r="C41" s="41">
        <v>17.100000000000001</v>
      </c>
      <c r="D41" s="42" t="s">
        <v>244</v>
      </c>
      <c r="E41" s="41" t="s">
        <v>222</v>
      </c>
      <c r="F41" s="42">
        <v>10</v>
      </c>
      <c r="G41" s="50">
        <v>258.22244052676297</v>
      </c>
      <c r="H41" s="50">
        <f t="shared" si="0"/>
        <v>2582.2244052676297</v>
      </c>
    </row>
    <row r="42" spans="2:8" x14ac:dyDescent="0.25">
      <c r="B42" s="41">
        <v>39</v>
      </c>
      <c r="C42" s="41">
        <v>18.100000000000001</v>
      </c>
      <c r="D42" s="42" t="s">
        <v>301</v>
      </c>
      <c r="E42" s="41" t="s">
        <v>222</v>
      </c>
      <c r="F42" s="42">
        <v>24</v>
      </c>
      <c r="G42" s="50">
        <v>72.887734862758151</v>
      </c>
      <c r="H42" s="50">
        <f t="shared" si="0"/>
        <v>1749.3056367061956</v>
      </c>
    </row>
    <row r="43" spans="2:8" x14ac:dyDescent="0.25">
      <c r="B43" s="41">
        <v>40</v>
      </c>
      <c r="C43" s="41">
        <v>122.1</v>
      </c>
      <c r="D43" s="42" t="s">
        <v>302</v>
      </c>
      <c r="E43" s="41" t="s">
        <v>222</v>
      </c>
      <c r="F43" s="42">
        <v>75</v>
      </c>
      <c r="G43" s="50">
        <v>75.281771306660772</v>
      </c>
      <c r="H43" s="50">
        <f t="shared" si="0"/>
        <v>5646.1328479995582</v>
      </c>
    </row>
    <row r="44" spans="2:8" x14ac:dyDescent="0.25">
      <c r="B44" s="41">
        <v>41</v>
      </c>
      <c r="C44" s="41">
        <v>124.1</v>
      </c>
      <c r="D44" s="42" t="s">
        <v>303</v>
      </c>
      <c r="E44" s="41" t="s">
        <v>222</v>
      </c>
      <c r="F44" s="42">
        <v>20</v>
      </c>
      <c r="G44" s="50">
        <v>248.75177003681679</v>
      </c>
      <c r="H44" s="50">
        <f t="shared" si="0"/>
        <v>4975.0354007363358</v>
      </c>
    </row>
    <row r="45" spans="2:8" x14ac:dyDescent="0.25">
      <c r="B45" s="41">
        <v>42</v>
      </c>
      <c r="C45" s="41">
        <v>137.1</v>
      </c>
      <c r="D45" s="42" t="s">
        <v>304</v>
      </c>
      <c r="E45" s="41" t="s">
        <v>305</v>
      </c>
      <c r="F45" s="42">
        <v>75</v>
      </c>
      <c r="G45" s="50">
        <v>281.36521558197234</v>
      </c>
      <c r="H45" s="50">
        <f t="shared" si="0"/>
        <v>21102.391168647926</v>
      </c>
    </row>
    <row r="46" spans="2:8" x14ac:dyDescent="0.25">
      <c r="B46" s="41">
        <v>43</v>
      </c>
      <c r="C46" s="41">
        <v>138.1</v>
      </c>
      <c r="D46" s="42" t="s">
        <v>306</v>
      </c>
      <c r="E46" s="41" t="s">
        <v>305</v>
      </c>
      <c r="F46" s="42">
        <v>150</v>
      </c>
      <c r="G46" s="50">
        <v>158.11743185527106</v>
      </c>
      <c r="H46" s="50">
        <f t="shared" si="0"/>
        <v>23717.614778290659</v>
      </c>
    </row>
    <row r="47" spans="2:8" ht="25.5" x14ac:dyDescent="0.25">
      <c r="B47" s="41">
        <v>44</v>
      </c>
      <c r="C47" s="41" t="s">
        <v>446</v>
      </c>
      <c r="D47" s="87" t="s">
        <v>447</v>
      </c>
      <c r="E47" s="41" t="s">
        <v>158</v>
      </c>
      <c r="F47" s="42">
        <v>4</v>
      </c>
      <c r="G47" s="50">
        <v>35904.6</v>
      </c>
      <c r="H47" s="50">
        <f>F47*G47</f>
        <v>143618.4</v>
      </c>
    </row>
    <row r="48" spans="2:8" ht="25.5" x14ac:dyDescent="0.25">
      <c r="B48" s="41">
        <v>45</v>
      </c>
      <c r="C48" s="41">
        <v>116.1</v>
      </c>
      <c r="D48" s="42" t="s">
        <v>292</v>
      </c>
      <c r="E48" s="41" t="s">
        <v>158</v>
      </c>
      <c r="F48" s="42">
        <v>12</v>
      </c>
      <c r="G48" s="50">
        <v>5079.8818561502549</v>
      </c>
      <c r="H48" s="50">
        <f>F48*G48</f>
        <v>60958.582273803055</v>
      </c>
    </row>
    <row r="49" spans="2:8" ht="25.5" x14ac:dyDescent="0.25">
      <c r="B49" s="41">
        <v>46</v>
      </c>
      <c r="C49" s="41" t="s">
        <v>675</v>
      </c>
      <c r="D49" s="82" t="s">
        <v>676</v>
      </c>
      <c r="E49" s="41" t="s">
        <v>158</v>
      </c>
      <c r="F49" s="42">
        <v>12</v>
      </c>
      <c r="G49" s="50">
        <v>1212</v>
      </c>
      <c r="H49" s="50">
        <f>F49*G49</f>
        <v>14544</v>
      </c>
    </row>
    <row r="50" spans="2:8" x14ac:dyDescent="0.25">
      <c r="B50" s="94" t="s">
        <v>74</v>
      </c>
      <c r="C50" s="450" t="s">
        <v>254</v>
      </c>
      <c r="D50" s="450"/>
      <c r="E50" s="450"/>
      <c r="F50" s="450"/>
      <c r="G50" s="450"/>
      <c r="H50" s="242">
        <f>SUM(H4:H49)</f>
        <v>12159602.607465133</v>
      </c>
    </row>
    <row r="51" spans="2:8" x14ac:dyDescent="0.25">
      <c r="B51" s="41" t="s">
        <v>75</v>
      </c>
      <c r="C51" s="446" t="s">
        <v>255</v>
      </c>
      <c r="D51" s="446"/>
      <c r="E51" s="446"/>
      <c r="F51" s="52" t="s">
        <v>227</v>
      </c>
      <c r="G51" s="53">
        <v>0.03</v>
      </c>
      <c r="H51" s="237">
        <f t="shared" ref="H51:H56" si="1">G51*$H$50</f>
        <v>364788.07822395395</v>
      </c>
    </row>
    <row r="52" spans="2:8" x14ac:dyDescent="0.25">
      <c r="B52" s="41" t="s">
        <v>76</v>
      </c>
      <c r="C52" s="446" t="s">
        <v>256</v>
      </c>
      <c r="D52" s="446"/>
      <c r="E52" s="446"/>
      <c r="F52" s="52" t="s">
        <v>227</v>
      </c>
      <c r="G52" s="53">
        <v>0.03</v>
      </c>
      <c r="H52" s="237">
        <f t="shared" si="1"/>
        <v>364788.07822395395</v>
      </c>
    </row>
    <row r="53" spans="2:8" x14ac:dyDescent="0.25">
      <c r="B53" s="41" t="s">
        <v>77</v>
      </c>
      <c r="C53" s="446" t="s">
        <v>257</v>
      </c>
      <c r="D53" s="446"/>
      <c r="E53" s="446"/>
      <c r="F53" s="52" t="s">
        <v>227</v>
      </c>
      <c r="G53" s="53">
        <v>0.03</v>
      </c>
      <c r="H53" s="237">
        <f t="shared" si="1"/>
        <v>364788.07822395395</v>
      </c>
    </row>
    <row r="54" spans="2:8" x14ac:dyDescent="0.25">
      <c r="B54" s="41" t="s">
        <v>78</v>
      </c>
      <c r="C54" s="446" t="s">
        <v>258</v>
      </c>
      <c r="D54" s="446"/>
      <c r="E54" s="446"/>
      <c r="F54" s="52" t="s">
        <v>227</v>
      </c>
      <c r="G54" s="53">
        <v>0.04</v>
      </c>
      <c r="H54" s="237">
        <f t="shared" si="1"/>
        <v>486384.10429860535</v>
      </c>
    </row>
    <row r="55" spans="2:8" x14ac:dyDescent="0.25">
      <c r="B55" s="41" t="s">
        <v>213</v>
      </c>
      <c r="C55" s="446" t="s">
        <v>259</v>
      </c>
      <c r="D55" s="446"/>
      <c r="E55" s="446"/>
      <c r="F55" s="52" t="s">
        <v>227</v>
      </c>
      <c r="G55" s="53">
        <v>0.02</v>
      </c>
      <c r="H55" s="237">
        <f t="shared" si="1"/>
        <v>243192.05214930268</v>
      </c>
    </row>
    <row r="56" spans="2:8" x14ac:dyDescent="0.25">
      <c r="B56" s="41" t="s">
        <v>92</v>
      </c>
      <c r="C56" s="446" t="s">
        <v>260</v>
      </c>
      <c r="D56" s="446"/>
      <c r="E56" s="446"/>
      <c r="F56" s="52" t="s">
        <v>227</v>
      </c>
      <c r="G56" s="53">
        <v>0.1</v>
      </c>
      <c r="H56" s="237">
        <f t="shared" si="1"/>
        <v>1215960.2607465133</v>
      </c>
    </row>
    <row r="57" spans="2:8" x14ac:dyDescent="0.25">
      <c r="B57" s="352" t="s">
        <v>93</v>
      </c>
      <c r="C57" s="451" t="s">
        <v>261</v>
      </c>
      <c r="D57" s="452"/>
      <c r="E57" s="453"/>
      <c r="F57" s="457" t="s">
        <v>144</v>
      </c>
      <c r="G57" s="458"/>
      <c r="H57" s="237">
        <f>'33-11 KV PSS labour'!N58</f>
        <v>1855037.291104411</v>
      </c>
    </row>
    <row r="58" spans="2:8" x14ac:dyDescent="0.25">
      <c r="B58" s="353"/>
      <c r="C58" s="454"/>
      <c r="D58" s="455"/>
      <c r="E58" s="456"/>
      <c r="F58" s="457" t="s">
        <v>145</v>
      </c>
      <c r="G58" s="458"/>
      <c r="H58" s="237">
        <f>'33-11 KV PSS labour'!O58</f>
        <v>2132944.4966566428</v>
      </c>
    </row>
    <row r="59" spans="2:8" x14ac:dyDescent="0.25">
      <c r="B59" s="331" t="s">
        <v>94</v>
      </c>
      <c r="C59" s="355" t="s">
        <v>262</v>
      </c>
      <c r="D59" s="355"/>
      <c r="E59" s="355"/>
      <c r="F59" s="446" t="s">
        <v>144</v>
      </c>
      <c r="G59" s="446"/>
      <c r="H59" s="238">
        <f>SUM(H50:H57)</f>
        <v>17054540.55043583</v>
      </c>
    </row>
    <row r="60" spans="2:8" x14ac:dyDescent="0.25">
      <c r="B60" s="331"/>
      <c r="C60" s="355"/>
      <c r="D60" s="355"/>
      <c r="E60" s="355"/>
      <c r="F60" s="446" t="s">
        <v>145</v>
      </c>
      <c r="G60" s="446"/>
      <c r="H60" s="238">
        <f>SUM(H50:H56,H58)</f>
        <v>17332447.755988061</v>
      </c>
    </row>
  </sheetData>
  <mergeCells count="16">
    <mergeCell ref="B59:B60"/>
    <mergeCell ref="C59:E60"/>
    <mergeCell ref="F59:G59"/>
    <mergeCell ref="F60:G60"/>
    <mergeCell ref="C56:E56"/>
    <mergeCell ref="B57:B58"/>
    <mergeCell ref="C57:E58"/>
    <mergeCell ref="F57:G57"/>
    <mergeCell ref="F58:G58"/>
    <mergeCell ref="C54:E54"/>
    <mergeCell ref="C55:E55"/>
    <mergeCell ref="D2:H2"/>
    <mergeCell ref="C50:G50"/>
    <mergeCell ref="C51:E51"/>
    <mergeCell ref="C52:E52"/>
    <mergeCell ref="C53:E53"/>
  </mergeCells>
  <printOptions horizontalCentered="1"/>
  <pageMargins left="0.7" right="0.7" top="0.75" bottom="0.75" header="0.3" footer="0.3"/>
  <pageSetup paperSize="9" scale="87" orientation="portrait" r:id="rId1"/>
  <headerFooter>
    <oddFooter>Page &amp;P of &amp;N</oddFooter>
  </headerFooter>
  <rowBreaks count="1" manualBreakCount="1">
    <brk id="40" min="1" max="7"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B2:J20"/>
  <sheetViews>
    <sheetView zoomScaleNormal="100" workbookViewId="0"/>
  </sheetViews>
  <sheetFormatPr defaultRowHeight="15" x14ac:dyDescent="0.25"/>
  <cols>
    <col min="2" max="2" width="5.85546875" bestFit="1" customWidth="1"/>
    <col min="3" max="3" width="54" bestFit="1" customWidth="1"/>
    <col min="4" max="4" width="5.5703125" bestFit="1" customWidth="1"/>
    <col min="5" max="5" width="4.28515625" bestFit="1" customWidth="1"/>
    <col min="6" max="6" width="8.7109375" bestFit="1" customWidth="1"/>
    <col min="7" max="7" width="8.85546875" customWidth="1"/>
  </cols>
  <sheetData>
    <row r="2" spans="2:10" ht="34.5" customHeight="1" x14ac:dyDescent="0.25">
      <c r="C2" s="447" t="s">
        <v>640</v>
      </c>
      <c r="D2" s="448"/>
      <c r="E2" s="448"/>
      <c r="F2" s="448"/>
      <c r="G2" s="449"/>
    </row>
    <row r="3" spans="2:10" ht="25.5" x14ac:dyDescent="0.25">
      <c r="B3" s="62" t="s">
        <v>155</v>
      </c>
      <c r="C3" s="63" t="s">
        <v>2</v>
      </c>
      <c r="D3" s="64" t="s">
        <v>154</v>
      </c>
      <c r="E3" s="47" t="s">
        <v>107</v>
      </c>
      <c r="F3" s="47" t="s">
        <v>231</v>
      </c>
      <c r="G3" s="47" t="s">
        <v>232</v>
      </c>
    </row>
    <row r="4" spans="2:10" x14ac:dyDescent="0.25">
      <c r="B4" s="25">
        <v>1</v>
      </c>
      <c r="C4" s="45" t="s">
        <v>215</v>
      </c>
      <c r="D4" s="25" t="s">
        <v>157</v>
      </c>
      <c r="E4" s="25">
        <v>1</v>
      </c>
      <c r="F4" s="109">
        <v>330</v>
      </c>
      <c r="G4" s="50">
        <f t="shared" ref="G4:G11" si="0">E4*F4</f>
        <v>330</v>
      </c>
      <c r="J4" s="46"/>
    </row>
    <row r="5" spans="2:10" x14ac:dyDescent="0.25">
      <c r="B5" s="25">
        <v>2</v>
      </c>
      <c r="C5" s="45" t="s">
        <v>216</v>
      </c>
      <c r="D5" s="25" t="s">
        <v>157</v>
      </c>
      <c r="E5" s="25">
        <v>1</v>
      </c>
      <c r="F5" s="109">
        <v>1064.7</v>
      </c>
      <c r="G5" s="50">
        <f t="shared" si="0"/>
        <v>1064.7</v>
      </c>
      <c r="J5" s="46"/>
    </row>
    <row r="6" spans="2:10" x14ac:dyDescent="0.25">
      <c r="B6" s="25">
        <v>3</v>
      </c>
      <c r="C6" s="45" t="s">
        <v>217</v>
      </c>
      <c r="D6" s="25" t="s">
        <v>218</v>
      </c>
      <c r="E6" s="25">
        <v>30</v>
      </c>
      <c r="F6" s="109">
        <v>56.7</v>
      </c>
      <c r="G6" s="50">
        <f t="shared" si="0"/>
        <v>1701</v>
      </c>
      <c r="J6" s="46"/>
    </row>
    <row r="7" spans="2:10" x14ac:dyDescent="0.25">
      <c r="B7" s="25">
        <v>4</v>
      </c>
      <c r="C7" s="45" t="s">
        <v>219</v>
      </c>
      <c r="D7" s="25" t="s">
        <v>157</v>
      </c>
      <c r="E7" s="25">
        <v>1</v>
      </c>
      <c r="F7" s="109">
        <v>60</v>
      </c>
      <c r="G7" s="50">
        <f t="shared" si="0"/>
        <v>60</v>
      </c>
      <c r="J7" s="46"/>
    </row>
    <row r="8" spans="2:10" x14ac:dyDescent="0.25">
      <c r="B8" s="25">
        <v>5</v>
      </c>
      <c r="C8" s="45" t="s">
        <v>220</v>
      </c>
      <c r="D8" s="25" t="s">
        <v>157</v>
      </c>
      <c r="E8" s="25">
        <v>1</v>
      </c>
      <c r="F8" s="109">
        <v>80</v>
      </c>
      <c r="G8" s="50">
        <f t="shared" si="0"/>
        <v>80</v>
      </c>
      <c r="J8" s="46"/>
    </row>
    <row r="9" spans="2:10" x14ac:dyDescent="0.25">
      <c r="B9" s="25">
        <v>6</v>
      </c>
      <c r="C9" s="45" t="s">
        <v>221</v>
      </c>
      <c r="D9" s="25" t="s">
        <v>222</v>
      </c>
      <c r="E9" s="25">
        <v>1</v>
      </c>
      <c r="F9" s="109">
        <v>88</v>
      </c>
      <c r="G9" s="50">
        <f t="shared" si="0"/>
        <v>88</v>
      </c>
      <c r="J9" s="46"/>
    </row>
    <row r="10" spans="2:10" x14ac:dyDescent="0.25">
      <c r="B10" s="25">
        <v>7</v>
      </c>
      <c r="C10" s="45" t="s">
        <v>223</v>
      </c>
      <c r="D10" s="25" t="s">
        <v>224</v>
      </c>
      <c r="E10" s="25">
        <v>5</v>
      </c>
      <c r="F10" s="109">
        <v>90</v>
      </c>
      <c r="G10" s="50">
        <f t="shared" si="0"/>
        <v>450</v>
      </c>
      <c r="J10" s="46"/>
    </row>
    <row r="11" spans="2:10" x14ac:dyDescent="0.25">
      <c r="B11" s="25">
        <v>8</v>
      </c>
      <c r="C11" s="45" t="s">
        <v>228</v>
      </c>
      <c r="D11" s="25" t="s">
        <v>157</v>
      </c>
      <c r="E11" s="25">
        <v>1</v>
      </c>
      <c r="F11" s="109">
        <v>100</v>
      </c>
      <c r="G11" s="50">
        <f t="shared" si="0"/>
        <v>100</v>
      </c>
      <c r="J11" s="46"/>
    </row>
    <row r="12" spans="2:10" x14ac:dyDescent="0.25">
      <c r="B12" s="47" t="s">
        <v>74</v>
      </c>
      <c r="C12" s="462" t="s">
        <v>254</v>
      </c>
      <c r="D12" s="463"/>
      <c r="E12" s="463"/>
      <c r="F12" s="464"/>
      <c r="G12" s="50">
        <f>SUM(G4:G11)</f>
        <v>3873.7</v>
      </c>
    </row>
    <row r="13" spans="2:10" x14ac:dyDescent="0.25">
      <c r="B13" s="41" t="s">
        <v>75</v>
      </c>
      <c r="C13" s="457" t="s">
        <v>255</v>
      </c>
      <c r="D13" s="458"/>
      <c r="E13" s="52" t="s">
        <v>227</v>
      </c>
      <c r="F13" s="53">
        <v>0.03</v>
      </c>
      <c r="G13" s="50">
        <f t="shared" ref="G13:G18" si="1">F13*$G$12</f>
        <v>116.21099999999998</v>
      </c>
    </row>
    <row r="14" spans="2:10" x14ac:dyDescent="0.25">
      <c r="B14" s="41" t="s">
        <v>76</v>
      </c>
      <c r="C14" s="457" t="s">
        <v>256</v>
      </c>
      <c r="D14" s="458"/>
      <c r="E14" s="52" t="s">
        <v>227</v>
      </c>
      <c r="F14" s="53">
        <v>0.03</v>
      </c>
      <c r="G14" s="50">
        <f t="shared" si="1"/>
        <v>116.21099999999998</v>
      </c>
    </row>
    <row r="15" spans="2:10" x14ac:dyDescent="0.25">
      <c r="B15" s="41" t="s">
        <v>77</v>
      </c>
      <c r="C15" s="457" t="s">
        <v>257</v>
      </c>
      <c r="D15" s="458"/>
      <c r="E15" s="52" t="s">
        <v>227</v>
      </c>
      <c r="F15" s="53">
        <v>0.03</v>
      </c>
      <c r="G15" s="50">
        <f t="shared" si="1"/>
        <v>116.21099999999998</v>
      </c>
    </row>
    <row r="16" spans="2:10" x14ac:dyDescent="0.25">
      <c r="B16" s="41" t="s">
        <v>78</v>
      </c>
      <c r="C16" s="457" t="s">
        <v>258</v>
      </c>
      <c r="D16" s="458"/>
      <c r="E16" s="52" t="s">
        <v>227</v>
      </c>
      <c r="F16" s="53">
        <v>0.04</v>
      </c>
      <c r="G16" s="50">
        <f t="shared" si="1"/>
        <v>154.94800000000001</v>
      </c>
    </row>
    <row r="17" spans="2:7" x14ac:dyDescent="0.25">
      <c r="B17" s="41" t="s">
        <v>213</v>
      </c>
      <c r="C17" s="457" t="s">
        <v>259</v>
      </c>
      <c r="D17" s="458"/>
      <c r="E17" s="52" t="s">
        <v>227</v>
      </c>
      <c r="F17" s="53">
        <v>0.02</v>
      </c>
      <c r="G17" s="50">
        <f t="shared" si="1"/>
        <v>77.474000000000004</v>
      </c>
    </row>
    <row r="18" spans="2:7" x14ac:dyDescent="0.25">
      <c r="B18" s="41" t="s">
        <v>92</v>
      </c>
      <c r="C18" s="457" t="s">
        <v>260</v>
      </c>
      <c r="D18" s="458"/>
      <c r="E18" s="52" t="s">
        <v>227</v>
      </c>
      <c r="F18" s="53">
        <v>0.1</v>
      </c>
      <c r="G18" s="50">
        <f t="shared" si="1"/>
        <v>387.37</v>
      </c>
    </row>
    <row r="19" spans="2:7" x14ac:dyDescent="0.25">
      <c r="B19" s="25" t="s">
        <v>93</v>
      </c>
      <c r="C19" s="465" t="s">
        <v>225</v>
      </c>
      <c r="D19" s="466"/>
      <c r="E19" s="467"/>
      <c r="F19" s="109">
        <v>150</v>
      </c>
      <c r="G19" s="50">
        <f>F19</f>
        <v>150</v>
      </c>
    </row>
    <row r="20" spans="2:7" x14ac:dyDescent="0.25">
      <c r="B20" s="93" t="s">
        <v>94</v>
      </c>
      <c r="C20" s="459" t="s">
        <v>262</v>
      </c>
      <c r="D20" s="460"/>
      <c r="E20" s="460"/>
      <c r="F20" s="461"/>
      <c r="G20" s="73">
        <f>SUM(G12:G19)</f>
        <v>4992.125</v>
      </c>
    </row>
  </sheetData>
  <mergeCells count="10">
    <mergeCell ref="C2:G2"/>
    <mergeCell ref="C17:D17"/>
    <mergeCell ref="C18:D18"/>
    <mergeCell ref="C20:F20"/>
    <mergeCell ref="C12:F12"/>
    <mergeCell ref="C13:D13"/>
    <mergeCell ref="C14:D14"/>
    <mergeCell ref="C15:D15"/>
    <mergeCell ref="C16:D16"/>
    <mergeCell ref="C19:E19"/>
  </mergeCells>
  <pageMargins left="0.7" right="0.7" top="0.75" bottom="0.75" header="0.3" footer="0.3"/>
  <pageSetup paperSize="9" scale="96"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B2:G17"/>
  <sheetViews>
    <sheetView zoomScaleNormal="100" workbookViewId="0"/>
  </sheetViews>
  <sheetFormatPr defaultRowHeight="15" x14ac:dyDescent="0.25"/>
  <cols>
    <col min="2" max="2" width="5.85546875" bestFit="1" customWidth="1"/>
    <col min="3" max="3" width="54" bestFit="1" customWidth="1"/>
    <col min="4" max="4" width="5.5703125" bestFit="1" customWidth="1"/>
    <col min="5" max="5" width="4.28515625" bestFit="1" customWidth="1"/>
    <col min="6" max="6" width="8.7109375" bestFit="1" customWidth="1"/>
    <col min="7" max="7" width="8.85546875" customWidth="1"/>
  </cols>
  <sheetData>
    <row r="2" spans="2:7" ht="34.5" customHeight="1" x14ac:dyDescent="0.25">
      <c r="C2" s="447" t="s">
        <v>639</v>
      </c>
      <c r="D2" s="448"/>
      <c r="E2" s="448"/>
      <c r="F2" s="448"/>
      <c r="G2" s="449"/>
    </row>
    <row r="3" spans="2:7" ht="25.5" x14ac:dyDescent="0.25">
      <c r="B3" s="62" t="s">
        <v>155</v>
      </c>
      <c r="C3" s="63" t="s">
        <v>2</v>
      </c>
      <c r="D3" s="64" t="s">
        <v>154</v>
      </c>
      <c r="E3" s="94" t="s">
        <v>107</v>
      </c>
      <c r="F3" s="94" t="s">
        <v>231</v>
      </c>
      <c r="G3" s="94" t="s">
        <v>232</v>
      </c>
    </row>
    <row r="4" spans="2:7" x14ac:dyDescent="0.25">
      <c r="B4" s="25">
        <v>1</v>
      </c>
      <c r="C4" s="45" t="s">
        <v>215</v>
      </c>
      <c r="D4" s="25" t="s">
        <v>157</v>
      </c>
      <c r="E4" s="25">
        <v>1</v>
      </c>
      <c r="F4" s="109">
        <v>330</v>
      </c>
      <c r="G4" s="50">
        <f t="shared" ref="G4:G8" si="0">E4*F4</f>
        <v>330</v>
      </c>
    </row>
    <row r="5" spans="2:7" ht="25.5" x14ac:dyDescent="0.25">
      <c r="B5" s="25">
        <v>2</v>
      </c>
      <c r="C5" s="45" t="s">
        <v>638</v>
      </c>
      <c r="D5" s="25" t="s">
        <v>157</v>
      </c>
      <c r="E5" s="25">
        <v>1</v>
      </c>
      <c r="F5" s="109">
        <v>9918.1144199221089</v>
      </c>
      <c r="G5" s="50">
        <f t="shared" si="0"/>
        <v>9918.1144199221089</v>
      </c>
    </row>
    <row r="6" spans="2:7" x14ac:dyDescent="0.25">
      <c r="B6" s="25">
        <v>3</v>
      </c>
      <c r="C6" s="45" t="s">
        <v>637</v>
      </c>
      <c r="D6" s="25" t="s">
        <v>218</v>
      </c>
      <c r="E6" s="25">
        <v>30</v>
      </c>
      <c r="F6" s="109">
        <f>158495/1000</f>
        <v>158.495</v>
      </c>
      <c r="G6" s="50">
        <f t="shared" si="0"/>
        <v>4754.8500000000004</v>
      </c>
    </row>
    <row r="7" spans="2:7" x14ac:dyDescent="0.25">
      <c r="B7" s="25">
        <v>4</v>
      </c>
      <c r="C7" s="45" t="s">
        <v>221</v>
      </c>
      <c r="D7" s="25" t="s">
        <v>222</v>
      </c>
      <c r="E7" s="25">
        <v>1</v>
      </c>
      <c r="F7" s="109">
        <v>88</v>
      </c>
      <c r="G7" s="50">
        <f t="shared" si="0"/>
        <v>88</v>
      </c>
    </row>
    <row r="8" spans="2:7" x14ac:dyDescent="0.25">
      <c r="B8" s="25">
        <v>5</v>
      </c>
      <c r="C8" s="45" t="s">
        <v>223</v>
      </c>
      <c r="D8" s="25" t="s">
        <v>224</v>
      </c>
      <c r="E8" s="25">
        <v>5</v>
      </c>
      <c r="F8" s="109">
        <v>90</v>
      </c>
      <c r="G8" s="50">
        <f t="shared" si="0"/>
        <v>450</v>
      </c>
    </row>
    <row r="9" spans="2:7" x14ac:dyDescent="0.25">
      <c r="B9" s="94" t="s">
        <v>74</v>
      </c>
      <c r="C9" s="462" t="s">
        <v>254</v>
      </c>
      <c r="D9" s="463"/>
      <c r="E9" s="463"/>
      <c r="F9" s="464"/>
      <c r="G9" s="50">
        <f>SUM(G4:G8)</f>
        <v>15540.964419922109</v>
      </c>
    </row>
    <row r="10" spans="2:7" x14ac:dyDescent="0.25">
      <c r="B10" s="41" t="s">
        <v>75</v>
      </c>
      <c r="C10" s="457" t="s">
        <v>255</v>
      </c>
      <c r="D10" s="458"/>
      <c r="E10" s="52" t="s">
        <v>227</v>
      </c>
      <c r="F10" s="53">
        <v>0.03</v>
      </c>
      <c r="G10" s="50">
        <f t="shared" ref="G10:G15" si="1">F10*$G$9</f>
        <v>466.22893259766329</v>
      </c>
    </row>
    <row r="11" spans="2:7" x14ac:dyDescent="0.25">
      <c r="B11" s="41" t="s">
        <v>76</v>
      </c>
      <c r="C11" s="457" t="s">
        <v>256</v>
      </c>
      <c r="D11" s="458"/>
      <c r="E11" s="52" t="s">
        <v>227</v>
      </c>
      <c r="F11" s="53">
        <v>0.03</v>
      </c>
      <c r="G11" s="50">
        <f t="shared" si="1"/>
        <v>466.22893259766329</v>
      </c>
    </row>
    <row r="12" spans="2:7" x14ac:dyDescent="0.25">
      <c r="B12" s="41" t="s">
        <v>77</v>
      </c>
      <c r="C12" s="457" t="s">
        <v>257</v>
      </c>
      <c r="D12" s="458"/>
      <c r="E12" s="52" t="s">
        <v>227</v>
      </c>
      <c r="F12" s="53">
        <v>0.03</v>
      </c>
      <c r="G12" s="50">
        <f t="shared" si="1"/>
        <v>466.22893259766329</v>
      </c>
    </row>
    <row r="13" spans="2:7" x14ac:dyDescent="0.25">
      <c r="B13" s="41" t="s">
        <v>78</v>
      </c>
      <c r="C13" s="457" t="s">
        <v>258</v>
      </c>
      <c r="D13" s="458"/>
      <c r="E13" s="52" t="s">
        <v>227</v>
      </c>
      <c r="F13" s="53">
        <v>0.04</v>
      </c>
      <c r="G13" s="50">
        <f t="shared" si="1"/>
        <v>621.63857679688442</v>
      </c>
    </row>
    <row r="14" spans="2:7" x14ac:dyDescent="0.25">
      <c r="B14" s="41" t="s">
        <v>213</v>
      </c>
      <c r="C14" s="457" t="s">
        <v>259</v>
      </c>
      <c r="D14" s="458"/>
      <c r="E14" s="52" t="s">
        <v>227</v>
      </c>
      <c r="F14" s="53">
        <v>0.02</v>
      </c>
      <c r="G14" s="50">
        <f t="shared" si="1"/>
        <v>310.81928839844221</v>
      </c>
    </row>
    <row r="15" spans="2:7" x14ac:dyDescent="0.25">
      <c r="B15" s="41" t="s">
        <v>92</v>
      </c>
      <c r="C15" s="457" t="s">
        <v>260</v>
      </c>
      <c r="D15" s="458"/>
      <c r="E15" s="52" t="s">
        <v>227</v>
      </c>
      <c r="F15" s="53">
        <v>0.1</v>
      </c>
      <c r="G15" s="50">
        <f t="shared" si="1"/>
        <v>1554.0964419922111</v>
      </c>
    </row>
    <row r="16" spans="2:7" x14ac:dyDescent="0.25">
      <c r="B16" s="25" t="s">
        <v>93</v>
      </c>
      <c r="C16" s="465" t="s">
        <v>225</v>
      </c>
      <c r="D16" s="466"/>
      <c r="E16" s="467"/>
      <c r="F16" s="109">
        <v>307</v>
      </c>
      <c r="G16" s="137">
        <f>F16</f>
        <v>307</v>
      </c>
    </row>
    <row r="17" spans="2:7" x14ac:dyDescent="0.25">
      <c r="B17" s="93" t="s">
        <v>94</v>
      </c>
      <c r="C17" s="459" t="s">
        <v>262</v>
      </c>
      <c r="D17" s="460"/>
      <c r="E17" s="460"/>
      <c r="F17" s="461"/>
      <c r="G17" s="73">
        <f>SUM(G9:G16)</f>
        <v>19733.205524902638</v>
      </c>
    </row>
  </sheetData>
  <mergeCells count="10">
    <mergeCell ref="C14:D14"/>
    <mergeCell ref="C15:D15"/>
    <mergeCell ref="C17:F17"/>
    <mergeCell ref="C2:G2"/>
    <mergeCell ref="C9:F9"/>
    <mergeCell ref="C10:D10"/>
    <mergeCell ref="C11:D11"/>
    <mergeCell ref="C12:D12"/>
    <mergeCell ref="C13:D13"/>
    <mergeCell ref="C16:E16"/>
  </mergeCells>
  <pageMargins left="0.7" right="0.7" top="0.75" bottom="0.75" header="0.3" footer="0.3"/>
  <pageSetup paperSize="9" scale="96"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4"/>
  <sheetViews>
    <sheetView zoomScaleNormal="100" workbookViewId="0"/>
  </sheetViews>
  <sheetFormatPr defaultRowHeight="15" x14ac:dyDescent="0.25"/>
  <cols>
    <col min="2" max="2" width="5" customWidth="1"/>
    <col min="3" max="3" width="6" customWidth="1"/>
    <col min="4" max="4" width="63.28515625" customWidth="1"/>
    <col min="5" max="5" width="5.7109375" customWidth="1"/>
    <col min="6" max="6" width="4.42578125" bestFit="1" customWidth="1"/>
    <col min="7" max="7" width="9.85546875" customWidth="1"/>
    <col min="8" max="8" width="11.42578125" customWidth="1"/>
  </cols>
  <sheetData>
    <row r="2" spans="2:10" ht="48.75" customHeight="1" x14ac:dyDescent="0.25">
      <c r="B2" s="46"/>
      <c r="C2" s="95"/>
      <c r="D2" s="447" t="s">
        <v>822</v>
      </c>
      <c r="E2" s="448"/>
      <c r="F2" s="448"/>
      <c r="G2" s="448"/>
      <c r="H2" s="449"/>
    </row>
    <row r="3" spans="2:10" ht="27.75" customHeight="1" x14ac:dyDescent="0.25">
      <c r="B3" s="162" t="s">
        <v>114</v>
      </c>
      <c r="C3" s="162" t="s">
        <v>229</v>
      </c>
      <c r="D3" s="162" t="s">
        <v>230</v>
      </c>
      <c r="E3" s="162" t="s">
        <v>0</v>
      </c>
      <c r="F3" s="162" t="s">
        <v>107</v>
      </c>
      <c r="G3" s="162" t="s">
        <v>231</v>
      </c>
      <c r="H3" s="162" t="s">
        <v>232</v>
      </c>
    </row>
    <row r="4" spans="2:10" x14ac:dyDescent="0.25">
      <c r="B4" s="84">
        <v>1</v>
      </c>
      <c r="C4" s="72">
        <v>166.3</v>
      </c>
      <c r="D4" s="42" t="s">
        <v>265</v>
      </c>
      <c r="E4" s="41" t="s">
        <v>157</v>
      </c>
      <c r="F4" s="42">
        <v>26</v>
      </c>
      <c r="G4" s="50">
        <v>30156.75</v>
      </c>
      <c r="H4" s="50">
        <f t="shared" ref="H4:H13" si="0">G4*F4</f>
        <v>784075.5</v>
      </c>
      <c r="J4" s="46"/>
    </row>
    <row r="5" spans="2:10" x14ac:dyDescent="0.25">
      <c r="B5" s="84">
        <v>2</v>
      </c>
      <c r="C5" s="41">
        <v>20.100000000000001</v>
      </c>
      <c r="D5" s="42" t="s">
        <v>266</v>
      </c>
      <c r="E5" s="41" t="s">
        <v>234</v>
      </c>
      <c r="F5" s="49">
        <v>3.15</v>
      </c>
      <c r="G5" s="50">
        <v>167541.89310915105</v>
      </c>
      <c r="H5" s="50">
        <f t="shared" si="0"/>
        <v>527756.96329382574</v>
      </c>
      <c r="J5" s="46"/>
    </row>
    <row r="6" spans="2:10" x14ac:dyDescent="0.25">
      <c r="B6" s="84">
        <v>3</v>
      </c>
      <c r="C6" s="41" t="s">
        <v>409</v>
      </c>
      <c r="D6" s="42" t="s">
        <v>278</v>
      </c>
      <c r="E6" s="41" t="s">
        <v>158</v>
      </c>
      <c r="F6" s="42">
        <v>48</v>
      </c>
      <c r="G6" s="50">
        <v>3401.3199999999997</v>
      </c>
      <c r="H6" s="50">
        <f t="shared" si="0"/>
        <v>163263.35999999999</v>
      </c>
      <c r="J6" s="46"/>
    </row>
    <row r="7" spans="2:10" x14ac:dyDescent="0.25">
      <c r="B7" s="84">
        <v>4</v>
      </c>
      <c r="C7" s="41">
        <v>100.1</v>
      </c>
      <c r="D7" s="42" t="s">
        <v>806</v>
      </c>
      <c r="E7" s="41" t="s">
        <v>157</v>
      </c>
      <c r="F7" s="42">
        <v>60</v>
      </c>
      <c r="G7" s="50">
        <v>660.65706873623617</v>
      </c>
      <c r="H7" s="50">
        <f t="shared" si="0"/>
        <v>39639.424124174169</v>
      </c>
      <c r="J7" s="46"/>
    </row>
    <row r="8" spans="2:10" x14ac:dyDescent="0.25">
      <c r="B8" s="84">
        <v>5</v>
      </c>
      <c r="C8" s="41">
        <v>100.1</v>
      </c>
      <c r="D8" s="163" t="s">
        <v>807</v>
      </c>
      <c r="E8" s="41" t="s">
        <v>157</v>
      </c>
      <c r="F8" s="42">
        <v>18</v>
      </c>
      <c r="G8" s="50">
        <v>660.65706873623617</v>
      </c>
      <c r="H8" s="50">
        <f t="shared" si="0"/>
        <v>11891.827237252252</v>
      </c>
      <c r="J8" s="46"/>
    </row>
    <row r="9" spans="2:10" x14ac:dyDescent="0.25">
      <c r="B9" s="84">
        <v>6</v>
      </c>
      <c r="C9" s="84" t="s">
        <v>143</v>
      </c>
      <c r="D9" s="42" t="s">
        <v>808</v>
      </c>
      <c r="E9" s="41" t="s">
        <v>157</v>
      </c>
      <c r="F9" s="50">
        <v>6</v>
      </c>
      <c r="G9" s="50">
        <v>1650</v>
      </c>
      <c r="H9" s="50">
        <f t="shared" si="0"/>
        <v>9900</v>
      </c>
      <c r="J9" s="46"/>
    </row>
    <row r="10" spans="2:10" x14ac:dyDescent="0.25">
      <c r="B10" s="84">
        <v>7</v>
      </c>
      <c r="C10" s="84" t="s">
        <v>143</v>
      </c>
      <c r="D10" s="42" t="s">
        <v>809</v>
      </c>
      <c r="E10" s="41" t="s">
        <v>157</v>
      </c>
      <c r="F10" s="50">
        <v>6</v>
      </c>
      <c r="G10" s="50">
        <v>220</v>
      </c>
      <c r="H10" s="50">
        <f t="shared" si="0"/>
        <v>1320</v>
      </c>
      <c r="J10" s="46"/>
    </row>
    <row r="11" spans="2:10" x14ac:dyDescent="0.25">
      <c r="B11" s="84">
        <v>8</v>
      </c>
      <c r="C11" s="84" t="s">
        <v>242</v>
      </c>
      <c r="D11" s="42" t="s">
        <v>273</v>
      </c>
      <c r="E11" s="41" t="s">
        <v>157</v>
      </c>
      <c r="F11" s="42">
        <v>18</v>
      </c>
      <c r="G11" s="50">
        <v>180</v>
      </c>
      <c r="H11" s="50">
        <f t="shared" si="0"/>
        <v>3240</v>
      </c>
      <c r="J11" s="46"/>
    </row>
    <row r="12" spans="2:10" x14ac:dyDescent="0.25">
      <c r="B12" s="84">
        <v>9</v>
      </c>
      <c r="C12" s="84">
        <v>136.1</v>
      </c>
      <c r="D12" s="42" t="s">
        <v>826</v>
      </c>
      <c r="E12" s="41" t="s">
        <v>157</v>
      </c>
      <c r="F12" s="50">
        <v>1</v>
      </c>
      <c r="G12" s="50">
        <v>75.002923647812892</v>
      </c>
      <c r="H12" s="50">
        <f t="shared" si="0"/>
        <v>75.002923647812892</v>
      </c>
      <c r="J12" s="46"/>
    </row>
    <row r="13" spans="2:10" ht="25.5" x14ac:dyDescent="0.25">
      <c r="B13" s="84">
        <v>10</v>
      </c>
      <c r="C13" s="84">
        <v>78.099999999999994</v>
      </c>
      <c r="D13" s="42" t="s">
        <v>697</v>
      </c>
      <c r="E13" s="41" t="s">
        <v>158</v>
      </c>
      <c r="F13" s="50">
        <v>13</v>
      </c>
      <c r="G13" s="50">
        <v>474.9255236617534</v>
      </c>
      <c r="H13" s="50">
        <f t="shared" si="0"/>
        <v>6174.0318076027943</v>
      </c>
      <c r="J13" s="46"/>
    </row>
    <row r="14" spans="2:10" x14ac:dyDescent="0.25">
      <c r="B14" s="162" t="s">
        <v>74</v>
      </c>
      <c r="C14" s="450" t="s">
        <v>254</v>
      </c>
      <c r="D14" s="450"/>
      <c r="E14" s="450"/>
      <c r="F14" s="450"/>
      <c r="G14" s="450"/>
      <c r="H14" s="127">
        <f>SUM(H4:H13)</f>
        <v>1547336.1093865028</v>
      </c>
    </row>
    <row r="15" spans="2:10" x14ac:dyDescent="0.25">
      <c r="B15" s="41" t="s">
        <v>75</v>
      </c>
      <c r="C15" s="446" t="s">
        <v>255</v>
      </c>
      <c r="D15" s="446"/>
      <c r="E15" s="446"/>
      <c r="F15" s="52" t="s">
        <v>227</v>
      </c>
      <c r="G15" s="53">
        <v>0.03</v>
      </c>
      <c r="H15" s="50">
        <f t="shared" ref="H15:H20" si="1">G15*$H$14</f>
        <v>46420.083281595078</v>
      </c>
    </row>
    <row r="16" spans="2:10" x14ac:dyDescent="0.25">
      <c r="B16" s="41" t="s">
        <v>76</v>
      </c>
      <c r="C16" s="446" t="s">
        <v>256</v>
      </c>
      <c r="D16" s="446"/>
      <c r="E16" s="446"/>
      <c r="F16" s="52" t="s">
        <v>227</v>
      </c>
      <c r="G16" s="53">
        <v>0.03</v>
      </c>
      <c r="H16" s="50">
        <f t="shared" si="1"/>
        <v>46420.083281595078</v>
      </c>
    </row>
    <row r="17" spans="2:8" x14ac:dyDescent="0.25">
      <c r="B17" s="41" t="s">
        <v>77</v>
      </c>
      <c r="C17" s="446" t="s">
        <v>257</v>
      </c>
      <c r="D17" s="446"/>
      <c r="E17" s="446"/>
      <c r="F17" s="52" t="s">
        <v>227</v>
      </c>
      <c r="G17" s="53">
        <v>0.03</v>
      </c>
      <c r="H17" s="50">
        <f t="shared" si="1"/>
        <v>46420.083281595078</v>
      </c>
    </row>
    <row r="18" spans="2:8" x14ac:dyDescent="0.25">
      <c r="B18" s="41" t="s">
        <v>78</v>
      </c>
      <c r="C18" s="446" t="s">
        <v>258</v>
      </c>
      <c r="D18" s="446"/>
      <c r="E18" s="446"/>
      <c r="F18" s="52" t="s">
        <v>227</v>
      </c>
      <c r="G18" s="53">
        <v>0.04</v>
      </c>
      <c r="H18" s="50">
        <f t="shared" si="1"/>
        <v>61893.444375460109</v>
      </c>
    </row>
    <row r="19" spans="2:8" x14ac:dyDescent="0.25">
      <c r="B19" s="41" t="s">
        <v>213</v>
      </c>
      <c r="C19" s="446" t="s">
        <v>259</v>
      </c>
      <c r="D19" s="446"/>
      <c r="E19" s="446"/>
      <c r="F19" s="52" t="s">
        <v>227</v>
      </c>
      <c r="G19" s="53">
        <v>0.02</v>
      </c>
      <c r="H19" s="50">
        <f t="shared" si="1"/>
        <v>30946.722187730054</v>
      </c>
    </row>
    <row r="20" spans="2:8" x14ac:dyDescent="0.25">
      <c r="B20" s="41" t="s">
        <v>92</v>
      </c>
      <c r="C20" s="446" t="s">
        <v>260</v>
      </c>
      <c r="D20" s="446"/>
      <c r="E20" s="446"/>
      <c r="F20" s="52" t="s">
        <v>227</v>
      </c>
      <c r="G20" s="53">
        <v>0.1</v>
      </c>
      <c r="H20" s="50">
        <f t="shared" si="1"/>
        <v>154733.61093865029</v>
      </c>
    </row>
    <row r="21" spans="2:8" x14ac:dyDescent="0.25">
      <c r="B21" s="352" t="s">
        <v>93</v>
      </c>
      <c r="C21" s="451" t="s">
        <v>261</v>
      </c>
      <c r="D21" s="452"/>
      <c r="E21" s="453"/>
      <c r="F21" s="457" t="s">
        <v>144</v>
      </c>
      <c r="G21" s="458"/>
      <c r="H21" s="50">
        <f>'33KV DP Suspension Labour'!K22</f>
        <v>206807.7464047856</v>
      </c>
    </row>
    <row r="22" spans="2:8" x14ac:dyDescent="0.25">
      <c r="B22" s="353"/>
      <c r="C22" s="454"/>
      <c r="D22" s="455"/>
      <c r="E22" s="456"/>
      <c r="F22" s="457" t="s">
        <v>145</v>
      </c>
      <c r="G22" s="458"/>
      <c r="H22" s="50">
        <f>'33KV DP Suspension Labour'!L22</f>
        <v>244066.26038019292</v>
      </c>
    </row>
    <row r="23" spans="2:8" x14ac:dyDescent="0.25">
      <c r="B23" s="331" t="s">
        <v>94</v>
      </c>
      <c r="C23" s="355" t="s">
        <v>262</v>
      </c>
      <c r="D23" s="355"/>
      <c r="E23" s="355"/>
      <c r="F23" s="446" t="s">
        <v>144</v>
      </c>
      <c r="G23" s="446"/>
      <c r="H23" s="128">
        <f>SUM(H14:H21)</f>
        <v>2140977.8831379139</v>
      </c>
    </row>
    <row r="24" spans="2:8" x14ac:dyDescent="0.25">
      <c r="B24" s="331"/>
      <c r="C24" s="355"/>
      <c r="D24" s="355"/>
      <c r="E24" s="355"/>
      <c r="F24" s="446" t="s">
        <v>145</v>
      </c>
      <c r="G24" s="446"/>
      <c r="H24" s="128">
        <f>SUM(H14:H20,H22)</f>
        <v>2178236.3971133213</v>
      </c>
    </row>
  </sheetData>
  <mergeCells count="16">
    <mergeCell ref="C20:E20"/>
    <mergeCell ref="D2:H2"/>
    <mergeCell ref="C14:G14"/>
    <mergeCell ref="C15:E15"/>
    <mergeCell ref="C16:E16"/>
    <mergeCell ref="C17:E17"/>
    <mergeCell ref="C18:E18"/>
    <mergeCell ref="C19:E19"/>
    <mergeCell ref="B21:B22"/>
    <mergeCell ref="C21:E22"/>
    <mergeCell ref="F21:G21"/>
    <mergeCell ref="F22:G22"/>
    <mergeCell ref="B23:B24"/>
    <mergeCell ref="C23:E24"/>
    <mergeCell ref="F23:G23"/>
    <mergeCell ref="F24:G24"/>
  </mergeCells>
  <printOptions horizontalCentered="1"/>
  <pageMargins left="0.7" right="0.7" top="0.8" bottom="0.75" header="0.3" footer="0.3"/>
  <pageSetup paperSize="9" scale="8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0"/>
  <sheetViews>
    <sheetView zoomScaleNormal="100" workbookViewId="0"/>
  </sheetViews>
  <sheetFormatPr defaultRowHeight="15" x14ac:dyDescent="0.25"/>
  <cols>
    <col min="1" max="1" width="9.140625" style="46"/>
    <col min="2" max="2" width="5" style="46" bestFit="1" customWidth="1"/>
    <col min="3" max="3" width="6" style="54" customWidth="1"/>
    <col min="4" max="4" width="49.140625" style="46" customWidth="1"/>
    <col min="5" max="5" width="5.85546875" style="55" customWidth="1"/>
    <col min="6" max="6" width="5.5703125" style="46" customWidth="1"/>
    <col min="7" max="7" width="10.7109375" style="46" bestFit="1" customWidth="1"/>
    <col min="8" max="8" width="13.7109375" style="46" bestFit="1" customWidth="1"/>
    <col min="9" max="16384" width="9.140625" style="46"/>
  </cols>
  <sheetData>
    <row r="1" spans="2:8" x14ac:dyDescent="0.25">
      <c r="G1" s="46">
        <v>3</v>
      </c>
    </row>
    <row r="2" spans="2:8" ht="49.5" customHeight="1" x14ac:dyDescent="0.25">
      <c r="C2" s="95"/>
      <c r="D2" s="447" t="s">
        <v>534</v>
      </c>
      <c r="E2" s="448"/>
      <c r="F2" s="448"/>
      <c r="G2" s="448"/>
      <c r="H2" s="449"/>
    </row>
    <row r="3" spans="2:8" ht="24.75" customHeight="1" x14ac:dyDescent="0.25">
      <c r="B3" s="79" t="s">
        <v>114</v>
      </c>
      <c r="C3" s="79" t="s">
        <v>229</v>
      </c>
      <c r="D3" s="79" t="s">
        <v>230</v>
      </c>
      <c r="E3" s="79" t="s">
        <v>0</v>
      </c>
      <c r="F3" s="79" t="s">
        <v>107</v>
      </c>
      <c r="G3" s="79" t="s">
        <v>231</v>
      </c>
      <c r="H3" s="79" t="s">
        <v>232</v>
      </c>
    </row>
    <row r="4" spans="2:8" x14ac:dyDescent="0.25">
      <c r="B4" s="41">
        <v>1</v>
      </c>
      <c r="C4" s="72">
        <v>166.3</v>
      </c>
      <c r="D4" s="42" t="s">
        <v>265</v>
      </c>
      <c r="E4" s="41" t="s">
        <v>157</v>
      </c>
      <c r="F4" s="42">
        <v>17</v>
      </c>
      <c r="G4" s="50">
        <v>30156.75</v>
      </c>
      <c r="H4" s="50">
        <f t="shared" ref="H4:H29" si="0">F4*G4</f>
        <v>512664.75</v>
      </c>
    </row>
    <row r="5" spans="2:8" x14ac:dyDescent="0.25">
      <c r="B5" s="41">
        <v>2</v>
      </c>
      <c r="C5" s="41">
        <v>20.100000000000001</v>
      </c>
      <c r="D5" s="42" t="s">
        <v>266</v>
      </c>
      <c r="E5" s="41" t="s">
        <v>234</v>
      </c>
      <c r="F5" s="49">
        <v>3.177</v>
      </c>
      <c r="G5" s="50">
        <v>167541.89310915105</v>
      </c>
      <c r="H5" s="50">
        <f t="shared" si="0"/>
        <v>532280.59440777288</v>
      </c>
    </row>
    <row r="6" spans="2:8" x14ac:dyDescent="0.25">
      <c r="B6" s="41">
        <v>3</v>
      </c>
      <c r="C6" s="41" t="s">
        <v>398</v>
      </c>
      <c r="D6" s="42" t="s">
        <v>267</v>
      </c>
      <c r="E6" s="41" t="s">
        <v>157</v>
      </c>
      <c r="F6" s="42">
        <v>14</v>
      </c>
      <c r="G6" s="50">
        <v>189.68899999999999</v>
      </c>
      <c r="H6" s="50">
        <f t="shared" si="0"/>
        <v>2655.6459999999997</v>
      </c>
    </row>
    <row r="7" spans="2:8" x14ac:dyDescent="0.25">
      <c r="B7" s="41">
        <v>4</v>
      </c>
      <c r="C7" s="41" t="s">
        <v>399</v>
      </c>
      <c r="D7" s="42" t="s">
        <v>268</v>
      </c>
      <c r="E7" s="41" t="s">
        <v>157</v>
      </c>
      <c r="F7" s="42">
        <v>14</v>
      </c>
      <c r="G7" s="50">
        <v>117.0839</v>
      </c>
      <c r="H7" s="50">
        <f t="shared" si="0"/>
        <v>1639.1746000000001</v>
      </c>
    </row>
    <row r="8" spans="2:8" x14ac:dyDescent="0.25">
      <c r="B8" s="41">
        <v>5</v>
      </c>
      <c r="C8" s="41" t="s">
        <v>377</v>
      </c>
      <c r="D8" s="42" t="s">
        <v>269</v>
      </c>
      <c r="E8" s="41" t="s">
        <v>157</v>
      </c>
      <c r="F8" s="42">
        <v>11</v>
      </c>
      <c r="G8" s="50">
        <v>1339.5968</v>
      </c>
      <c r="H8" s="50">
        <f t="shared" si="0"/>
        <v>14735.5648</v>
      </c>
    </row>
    <row r="9" spans="2:8" x14ac:dyDescent="0.25">
      <c r="B9" s="41">
        <v>6</v>
      </c>
      <c r="C9" s="41" t="s">
        <v>399</v>
      </c>
      <c r="D9" s="42" t="s">
        <v>641</v>
      </c>
      <c r="E9" s="41" t="s">
        <v>157</v>
      </c>
      <c r="F9" s="42">
        <v>11</v>
      </c>
      <c r="G9" s="50">
        <v>117.0839</v>
      </c>
      <c r="H9" s="50">
        <f t="shared" si="0"/>
        <v>1287.9229</v>
      </c>
    </row>
    <row r="10" spans="2:8" ht="25.5" x14ac:dyDescent="0.25">
      <c r="B10" s="41">
        <v>7</v>
      </c>
      <c r="C10" s="41" t="s">
        <v>642</v>
      </c>
      <c r="D10" s="42" t="s">
        <v>643</v>
      </c>
      <c r="E10" s="41" t="s">
        <v>157</v>
      </c>
      <c r="F10" s="42">
        <v>11</v>
      </c>
      <c r="G10" s="50">
        <v>117.0839</v>
      </c>
      <c r="H10" s="50">
        <f>F10*G10</f>
        <v>1287.9229</v>
      </c>
    </row>
    <row r="11" spans="2:8" ht="25.5" x14ac:dyDescent="0.25">
      <c r="B11" s="41">
        <v>8</v>
      </c>
      <c r="C11" s="83" t="s">
        <v>400</v>
      </c>
      <c r="D11" s="82" t="s">
        <v>401</v>
      </c>
      <c r="E11" s="41" t="s">
        <v>157</v>
      </c>
      <c r="F11" s="42">
        <v>17</v>
      </c>
      <c r="G11" s="50">
        <v>52.328000000000003</v>
      </c>
      <c r="H11" s="50">
        <f>F11*G11</f>
        <v>889.57600000000002</v>
      </c>
    </row>
    <row r="12" spans="2:8" ht="25.5" x14ac:dyDescent="0.25">
      <c r="B12" s="41">
        <v>9</v>
      </c>
      <c r="C12" s="72">
        <v>99.1</v>
      </c>
      <c r="D12" s="42" t="s">
        <v>402</v>
      </c>
      <c r="E12" s="41" t="s">
        <v>157</v>
      </c>
      <c r="F12" s="42">
        <v>51</v>
      </c>
      <c r="G12" s="50">
        <v>450.17264933080259</v>
      </c>
      <c r="H12" s="50">
        <f t="shared" si="0"/>
        <v>22958.805115870931</v>
      </c>
    </row>
    <row r="13" spans="2:8" x14ac:dyDescent="0.25">
      <c r="B13" s="41">
        <v>10</v>
      </c>
      <c r="C13" s="41">
        <v>100.1</v>
      </c>
      <c r="D13" s="42" t="s">
        <v>403</v>
      </c>
      <c r="E13" s="41" t="s">
        <v>157</v>
      </c>
      <c r="F13" s="42">
        <v>12</v>
      </c>
      <c r="G13" s="50">
        <v>660.65706873623617</v>
      </c>
      <c r="H13" s="50">
        <f t="shared" si="0"/>
        <v>7927.884824834834</v>
      </c>
    </row>
    <row r="14" spans="2:8" x14ac:dyDescent="0.25">
      <c r="B14" s="41">
        <v>11</v>
      </c>
      <c r="C14" s="72">
        <v>2.1</v>
      </c>
      <c r="D14" s="42" t="s">
        <v>404</v>
      </c>
      <c r="E14" s="41" t="s">
        <v>158</v>
      </c>
      <c r="F14" s="42">
        <v>1</v>
      </c>
      <c r="G14" s="50">
        <v>27607.919643872621</v>
      </c>
      <c r="H14" s="50">
        <f t="shared" si="0"/>
        <v>27607.919643872621</v>
      </c>
    </row>
    <row r="15" spans="2:8" x14ac:dyDescent="0.25">
      <c r="B15" s="41">
        <v>12</v>
      </c>
      <c r="C15" s="41">
        <v>103.1</v>
      </c>
      <c r="D15" s="42" t="s">
        <v>270</v>
      </c>
      <c r="E15" s="41" t="s">
        <v>158</v>
      </c>
      <c r="F15" s="42">
        <v>1</v>
      </c>
      <c r="G15" s="50">
        <v>12821.372923978555</v>
      </c>
      <c r="H15" s="50">
        <f t="shared" si="0"/>
        <v>12821.372923978555</v>
      </c>
    </row>
    <row r="16" spans="2:8" ht="25.5" x14ac:dyDescent="0.25">
      <c r="B16" s="41">
        <v>13</v>
      </c>
      <c r="C16" s="72">
        <v>169.1</v>
      </c>
      <c r="D16" s="42" t="s">
        <v>271</v>
      </c>
      <c r="E16" s="41" t="s">
        <v>158</v>
      </c>
      <c r="F16" s="42">
        <v>8</v>
      </c>
      <c r="G16" s="50">
        <v>770.36160367948594</v>
      </c>
      <c r="H16" s="50">
        <f t="shared" si="0"/>
        <v>6162.8928294358875</v>
      </c>
    </row>
    <row r="17" spans="2:8" x14ac:dyDescent="0.25">
      <c r="B17" s="41">
        <v>14</v>
      </c>
      <c r="C17" s="41" t="s">
        <v>405</v>
      </c>
      <c r="D17" s="42" t="s">
        <v>272</v>
      </c>
      <c r="E17" s="41" t="s">
        <v>158</v>
      </c>
      <c r="F17" s="42">
        <v>8</v>
      </c>
      <c r="G17" s="50">
        <v>114.4675</v>
      </c>
      <c r="H17" s="50">
        <f t="shared" si="0"/>
        <v>915.74</v>
      </c>
    </row>
    <row r="18" spans="2:8" x14ac:dyDescent="0.25">
      <c r="B18" s="41">
        <v>15</v>
      </c>
      <c r="C18" s="84" t="s">
        <v>242</v>
      </c>
      <c r="D18" s="42" t="s">
        <v>273</v>
      </c>
      <c r="E18" s="41" t="s">
        <v>157</v>
      </c>
      <c r="F18" s="42">
        <v>9</v>
      </c>
      <c r="G18" s="50">
        <v>180</v>
      </c>
      <c r="H18" s="50">
        <f t="shared" si="0"/>
        <v>1620</v>
      </c>
    </row>
    <row r="19" spans="2:8" x14ac:dyDescent="0.25">
      <c r="B19" s="41">
        <v>16</v>
      </c>
      <c r="C19" s="41">
        <v>17.100000000000001</v>
      </c>
      <c r="D19" s="42" t="s">
        <v>244</v>
      </c>
      <c r="E19" s="41" t="s">
        <v>222</v>
      </c>
      <c r="F19" s="42">
        <v>5</v>
      </c>
      <c r="G19" s="50">
        <v>258.22244052676297</v>
      </c>
      <c r="H19" s="50">
        <f t="shared" si="0"/>
        <v>1291.1122026338148</v>
      </c>
    </row>
    <row r="20" spans="2:8" x14ac:dyDescent="0.25">
      <c r="B20" s="41">
        <v>17</v>
      </c>
      <c r="C20" s="41">
        <v>18.100000000000001</v>
      </c>
      <c r="D20" s="42" t="s">
        <v>274</v>
      </c>
      <c r="E20" s="41" t="s">
        <v>222</v>
      </c>
      <c r="F20" s="42">
        <v>85</v>
      </c>
      <c r="G20" s="50">
        <v>72.887734862758151</v>
      </c>
      <c r="H20" s="50">
        <f t="shared" si="0"/>
        <v>6195.4574633344428</v>
      </c>
    </row>
    <row r="21" spans="2:8" x14ac:dyDescent="0.25">
      <c r="B21" s="41">
        <v>18</v>
      </c>
      <c r="C21" s="41">
        <v>19.100000000000001</v>
      </c>
      <c r="D21" s="42" t="s">
        <v>275</v>
      </c>
      <c r="E21" s="41" t="s">
        <v>222</v>
      </c>
      <c r="F21" s="42">
        <v>80</v>
      </c>
      <c r="G21" s="50">
        <v>73.140893457460592</v>
      </c>
      <c r="H21" s="50">
        <f t="shared" si="0"/>
        <v>5851.2714765968476</v>
      </c>
    </row>
    <row r="22" spans="2:8" x14ac:dyDescent="0.25">
      <c r="B22" s="41">
        <v>19</v>
      </c>
      <c r="C22" s="72" t="s">
        <v>247</v>
      </c>
      <c r="D22" s="42" t="s">
        <v>276</v>
      </c>
      <c r="E22" s="41" t="s">
        <v>157</v>
      </c>
      <c r="F22" s="42">
        <v>17</v>
      </c>
      <c r="G22" s="50">
        <v>1284</v>
      </c>
      <c r="H22" s="50">
        <f t="shared" si="0"/>
        <v>21828</v>
      </c>
    </row>
    <row r="23" spans="2:8" x14ac:dyDescent="0.25">
      <c r="B23" s="41">
        <v>20</v>
      </c>
      <c r="C23" s="41">
        <v>136.1</v>
      </c>
      <c r="D23" s="42" t="s">
        <v>249</v>
      </c>
      <c r="E23" s="41" t="s">
        <v>222</v>
      </c>
      <c r="F23" s="42">
        <v>34</v>
      </c>
      <c r="G23" s="50">
        <v>75.002923647812892</v>
      </c>
      <c r="H23" s="50">
        <f t="shared" si="0"/>
        <v>2550.0994040256383</v>
      </c>
    </row>
    <row r="24" spans="2:8" x14ac:dyDescent="0.25">
      <c r="B24" s="41">
        <v>21</v>
      </c>
      <c r="C24" s="41" t="s">
        <v>406</v>
      </c>
      <c r="D24" s="42" t="s">
        <v>407</v>
      </c>
      <c r="E24" s="41" t="s">
        <v>250</v>
      </c>
      <c r="F24" s="42">
        <v>6</v>
      </c>
      <c r="G24" s="50">
        <v>274.72199999999998</v>
      </c>
      <c r="H24" s="50">
        <f t="shared" si="0"/>
        <v>1648.3319999999999</v>
      </c>
    </row>
    <row r="25" spans="2:8" x14ac:dyDescent="0.25">
      <c r="B25" s="41">
        <v>22</v>
      </c>
      <c r="C25" s="41" t="s">
        <v>408</v>
      </c>
      <c r="D25" s="42" t="s">
        <v>277</v>
      </c>
      <c r="E25" s="41" t="s">
        <v>250</v>
      </c>
      <c r="F25" s="42">
        <v>6</v>
      </c>
      <c r="G25" s="50">
        <v>141.28559999999999</v>
      </c>
      <c r="H25" s="50">
        <f t="shared" si="0"/>
        <v>847.71359999999993</v>
      </c>
    </row>
    <row r="26" spans="2:8" ht="25.5" x14ac:dyDescent="0.25">
      <c r="B26" s="41">
        <v>23</v>
      </c>
      <c r="C26" s="41" t="s">
        <v>409</v>
      </c>
      <c r="D26" s="42" t="s">
        <v>278</v>
      </c>
      <c r="E26" s="41" t="s">
        <v>158</v>
      </c>
      <c r="F26" s="42">
        <v>3</v>
      </c>
      <c r="G26" s="50">
        <v>3401.3199999999997</v>
      </c>
      <c r="H26" s="50">
        <f t="shared" si="0"/>
        <v>10203.959999999999</v>
      </c>
    </row>
    <row r="27" spans="2:8" ht="25.5" x14ac:dyDescent="0.25">
      <c r="B27" s="41">
        <v>24</v>
      </c>
      <c r="C27" s="41" t="s">
        <v>675</v>
      </c>
      <c r="D27" s="82" t="s">
        <v>676</v>
      </c>
      <c r="E27" s="41" t="s">
        <v>158</v>
      </c>
      <c r="F27" s="42">
        <v>17</v>
      </c>
      <c r="G27" s="50">
        <v>1212</v>
      </c>
      <c r="H27" s="50">
        <f t="shared" si="0"/>
        <v>20604</v>
      </c>
    </row>
    <row r="28" spans="2:8" x14ac:dyDescent="0.25">
      <c r="B28" s="41">
        <v>25</v>
      </c>
      <c r="C28" s="41" t="s">
        <v>410</v>
      </c>
      <c r="D28" s="42" t="s">
        <v>411</v>
      </c>
      <c r="E28" s="41" t="s">
        <v>250</v>
      </c>
      <c r="F28" s="42">
        <v>17</v>
      </c>
      <c r="G28" s="50">
        <v>104.65600000000001</v>
      </c>
      <c r="H28" s="50">
        <f t="shared" si="0"/>
        <v>1779.152</v>
      </c>
    </row>
    <row r="29" spans="2:8" x14ac:dyDescent="0.25">
      <c r="B29" s="41">
        <v>26</v>
      </c>
      <c r="C29" s="41">
        <v>133.1</v>
      </c>
      <c r="D29" s="42" t="s">
        <v>279</v>
      </c>
      <c r="E29" s="41" t="s">
        <v>157</v>
      </c>
      <c r="F29" s="42">
        <v>17</v>
      </c>
      <c r="G29" s="50">
        <v>60.758062728582523</v>
      </c>
      <c r="H29" s="50">
        <f t="shared" si="0"/>
        <v>1032.8870663859029</v>
      </c>
    </row>
    <row r="30" spans="2:8" ht="15" customHeight="1" x14ac:dyDescent="0.25">
      <c r="B30" s="94" t="s">
        <v>74</v>
      </c>
      <c r="C30" s="450" t="s">
        <v>254</v>
      </c>
      <c r="D30" s="450"/>
      <c r="E30" s="450"/>
      <c r="F30" s="450"/>
      <c r="G30" s="450"/>
      <c r="H30" s="127">
        <f>SUM(H4:H29)</f>
        <v>1221287.7521587419</v>
      </c>
    </row>
    <row r="31" spans="2:8" x14ac:dyDescent="0.25">
      <c r="B31" s="41" t="s">
        <v>75</v>
      </c>
      <c r="C31" s="446" t="s">
        <v>255</v>
      </c>
      <c r="D31" s="446"/>
      <c r="E31" s="446"/>
      <c r="F31" s="52" t="s">
        <v>227</v>
      </c>
      <c r="G31" s="53">
        <v>0.03</v>
      </c>
      <c r="H31" s="50">
        <f t="shared" ref="H31:H36" si="1">G31*$H$30</f>
        <v>36638.632564762258</v>
      </c>
    </row>
    <row r="32" spans="2:8" x14ac:dyDescent="0.25">
      <c r="B32" s="41" t="s">
        <v>76</v>
      </c>
      <c r="C32" s="446" t="s">
        <v>256</v>
      </c>
      <c r="D32" s="446"/>
      <c r="E32" s="446"/>
      <c r="F32" s="52" t="s">
        <v>227</v>
      </c>
      <c r="G32" s="53">
        <v>0.03</v>
      </c>
      <c r="H32" s="50">
        <f t="shared" si="1"/>
        <v>36638.632564762258</v>
      </c>
    </row>
    <row r="33" spans="2:8" x14ac:dyDescent="0.25">
      <c r="B33" s="41" t="s">
        <v>77</v>
      </c>
      <c r="C33" s="446" t="s">
        <v>257</v>
      </c>
      <c r="D33" s="446"/>
      <c r="E33" s="446"/>
      <c r="F33" s="52" t="s">
        <v>227</v>
      </c>
      <c r="G33" s="53">
        <v>0.03</v>
      </c>
      <c r="H33" s="50">
        <f t="shared" si="1"/>
        <v>36638.632564762258</v>
      </c>
    </row>
    <row r="34" spans="2:8" x14ac:dyDescent="0.25">
      <c r="B34" s="41" t="s">
        <v>78</v>
      </c>
      <c r="C34" s="446" t="s">
        <v>258</v>
      </c>
      <c r="D34" s="446"/>
      <c r="E34" s="446"/>
      <c r="F34" s="52" t="s">
        <v>227</v>
      </c>
      <c r="G34" s="53">
        <v>0.04</v>
      </c>
      <c r="H34" s="50">
        <f t="shared" si="1"/>
        <v>48851.510086349677</v>
      </c>
    </row>
    <row r="35" spans="2:8" x14ac:dyDescent="0.25">
      <c r="B35" s="41" t="s">
        <v>213</v>
      </c>
      <c r="C35" s="446" t="s">
        <v>259</v>
      </c>
      <c r="D35" s="446"/>
      <c r="E35" s="446"/>
      <c r="F35" s="52" t="s">
        <v>227</v>
      </c>
      <c r="G35" s="53">
        <v>0.02</v>
      </c>
      <c r="H35" s="50">
        <f t="shared" si="1"/>
        <v>24425.755043174839</v>
      </c>
    </row>
    <row r="36" spans="2:8" x14ac:dyDescent="0.25">
      <c r="B36" s="41" t="s">
        <v>92</v>
      </c>
      <c r="C36" s="446" t="s">
        <v>260</v>
      </c>
      <c r="D36" s="446"/>
      <c r="E36" s="446"/>
      <c r="F36" s="52" t="s">
        <v>227</v>
      </c>
      <c r="G36" s="53">
        <v>0.1</v>
      </c>
      <c r="H36" s="50">
        <f t="shared" si="1"/>
        <v>122128.77521587419</v>
      </c>
    </row>
    <row r="37" spans="2:8" x14ac:dyDescent="0.25">
      <c r="B37" s="352" t="s">
        <v>93</v>
      </c>
      <c r="C37" s="451" t="s">
        <v>261</v>
      </c>
      <c r="D37" s="452"/>
      <c r="E37" s="453"/>
      <c r="F37" s="457" t="s">
        <v>144</v>
      </c>
      <c r="G37" s="458"/>
      <c r="H37" s="50">
        <f>'33KV line labour'!K83</f>
        <v>248999.68454823198</v>
      </c>
    </row>
    <row r="38" spans="2:8" x14ac:dyDescent="0.25">
      <c r="B38" s="353"/>
      <c r="C38" s="454"/>
      <c r="D38" s="455"/>
      <c r="E38" s="456"/>
      <c r="F38" s="457" t="s">
        <v>145</v>
      </c>
      <c r="G38" s="458"/>
      <c r="H38" s="50">
        <f>'33KV line labour'!L83</f>
        <v>257595.27726827323</v>
      </c>
    </row>
    <row r="39" spans="2:8" x14ac:dyDescent="0.25">
      <c r="B39" s="331" t="s">
        <v>94</v>
      </c>
      <c r="C39" s="355" t="s">
        <v>262</v>
      </c>
      <c r="D39" s="355"/>
      <c r="E39" s="355"/>
      <c r="F39" s="446" t="s">
        <v>144</v>
      </c>
      <c r="G39" s="446"/>
      <c r="H39" s="128">
        <f>SUM(H30:H37)</f>
        <v>1775609.3747466591</v>
      </c>
    </row>
    <row r="40" spans="2:8" x14ac:dyDescent="0.25">
      <c r="B40" s="331"/>
      <c r="C40" s="355"/>
      <c r="D40" s="355"/>
      <c r="E40" s="355"/>
      <c r="F40" s="446" t="s">
        <v>145</v>
      </c>
      <c r="G40" s="446"/>
      <c r="H40" s="128">
        <f>SUM(H30:H36,H38)</f>
        <v>1784204.9674667004</v>
      </c>
    </row>
  </sheetData>
  <mergeCells count="16">
    <mergeCell ref="B37:B38"/>
    <mergeCell ref="C37:E38"/>
    <mergeCell ref="F37:G37"/>
    <mergeCell ref="F38:G38"/>
    <mergeCell ref="B39:B40"/>
    <mergeCell ref="C39:E40"/>
    <mergeCell ref="F39:G39"/>
    <mergeCell ref="F40:G40"/>
    <mergeCell ref="D2:H2"/>
    <mergeCell ref="C35:E35"/>
    <mergeCell ref="C36:E36"/>
    <mergeCell ref="C30:G30"/>
    <mergeCell ref="C31:E31"/>
    <mergeCell ref="C32:E32"/>
    <mergeCell ref="C33:E33"/>
    <mergeCell ref="C34:E34"/>
  </mergeCells>
  <pageMargins left="0.7" right="0.7" top="0.75" bottom="0.75" header="0.3" footer="0.3"/>
  <pageSetup paperSize="9" scale="91"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0"/>
  <sheetViews>
    <sheetView zoomScaleNormal="100" workbookViewId="0"/>
  </sheetViews>
  <sheetFormatPr defaultRowHeight="15" x14ac:dyDescent="0.25"/>
  <cols>
    <col min="1" max="1" width="9.140625" style="46"/>
    <col min="2" max="2" width="5" style="46" bestFit="1" customWidth="1"/>
    <col min="3" max="3" width="6" style="54" customWidth="1"/>
    <col min="4" max="4" width="49.140625" style="46" customWidth="1"/>
    <col min="5" max="5" width="5.85546875" style="55" customWidth="1"/>
    <col min="6" max="6" width="5.5703125" style="46" customWidth="1"/>
    <col min="7" max="7" width="10.7109375" style="46" bestFit="1" customWidth="1"/>
    <col min="8" max="8" width="10" style="46" customWidth="1"/>
    <col min="9" max="16384" width="9.140625" style="46"/>
  </cols>
  <sheetData>
    <row r="2" spans="2:8" ht="49.5" customHeight="1" x14ac:dyDescent="0.25">
      <c r="C2" s="95"/>
      <c r="D2" s="447" t="s">
        <v>535</v>
      </c>
      <c r="E2" s="448"/>
      <c r="F2" s="448"/>
      <c r="G2" s="448"/>
      <c r="H2" s="449"/>
    </row>
    <row r="3" spans="2:8" ht="25.5" x14ac:dyDescent="0.25">
      <c r="B3" s="79" t="s">
        <v>114</v>
      </c>
      <c r="C3" s="79" t="s">
        <v>229</v>
      </c>
      <c r="D3" s="79" t="s">
        <v>230</v>
      </c>
      <c r="E3" s="79" t="s">
        <v>0</v>
      </c>
      <c r="F3" s="79" t="s">
        <v>107</v>
      </c>
      <c r="G3" s="79" t="s">
        <v>231</v>
      </c>
      <c r="H3" s="79" t="s">
        <v>232</v>
      </c>
    </row>
    <row r="4" spans="2:8" x14ac:dyDescent="0.25">
      <c r="B4" s="41">
        <v>1</v>
      </c>
      <c r="C4" s="41">
        <v>166.3</v>
      </c>
      <c r="D4" s="42" t="s">
        <v>265</v>
      </c>
      <c r="E4" s="41" t="s">
        <v>157</v>
      </c>
      <c r="F4" s="42">
        <v>17</v>
      </c>
      <c r="G4" s="50">
        <v>30156.75</v>
      </c>
      <c r="H4" s="50">
        <f t="shared" ref="H4:H29" si="0">F4*G4</f>
        <v>512664.75</v>
      </c>
    </row>
    <row r="5" spans="2:8" x14ac:dyDescent="0.25">
      <c r="B5" s="41">
        <v>2</v>
      </c>
      <c r="C5" s="72">
        <v>21.1</v>
      </c>
      <c r="D5" s="42" t="s">
        <v>280</v>
      </c>
      <c r="E5" s="41" t="s">
        <v>234</v>
      </c>
      <c r="F5" s="49">
        <v>3.177</v>
      </c>
      <c r="G5" s="50">
        <v>108687.63896361632</v>
      </c>
      <c r="H5" s="50">
        <f t="shared" si="0"/>
        <v>345300.62898740906</v>
      </c>
    </row>
    <row r="6" spans="2:8" x14ac:dyDescent="0.25">
      <c r="B6" s="41">
        <v>3</v>
      </c>
      <c r="C6" s="41" t="s">
        <v>398</v>
      </c>
      <c r="D6" s="42" t="s">
        <v>267</v>
      </c>
      <c r="E6" s="41" t="s">
        <v>157</v>
      </c>
      <c r="F6" s="42">
        <v>11</v>
      </c>
      <c r="G6" s="50">
        <v>189.68899999999999</v>
      </c>
      <c r="H6" s="50">
        <f t="shared" si="0"/>
        <v>2086.5789999999997</v>
      </c>
    </row>
    <row r="7" spans="2:8" x14ac:dyDescent="0.25">
      <c r="B7" s="41">
        <v>4</v>
      </c>
      <c r="C7" s="41" t="s">
        <v>399</v>
      </c>
      <c r="D7" s="42" t="s">
        <v>268</v>
      </c>
      <c r="E7" s="41" t="s">
        <v>157</v>
      </c>
      <c r="F7" s="42">
        <v>11</v>
      </c>
      <c r="G7" s="50">
        <v>117.0839</v>
      </c>
      <c r="H7" s="50">
        <f t="shared" si="0"/>
        <v>1287.9229</v>
      </c>
    </row>
    <row r="8" spans="2:8" x14ac:dyDescent="0.25">
      <c r="B8" s="41">
        <v>5</v>
      </c>
      <c r="C8" s="41" t="s">
        <v>377</v>
      </c>
      <c r="D8" s="42" t="s">
        <v>269</v>
      </c>
      <c r="E8" s="41" t="s">
        <v>157</v>
      </c>
      <c r="F8" s="42">
        <v>11</v>
      </c>
      <c r="G8" s="50">
        <v>1339.5968</v>
      </c>
      <c r="H8" s="50">
        <f t="shared" si="0"/>
        <v>14735.5648</v>
      </c>
    </row>
    <row r="9" spans="2:8" x14ac:dyDescent="0.25">
      <c r="B9" s="41">
        <v>6</v>
      </c>
      <c r="C9" s="41" t="s">
        <v>399</v>
      </c>
      <c r="D9" s="42" t="s">
        <v>641</v>
      </c>
      <c r="E9" s="41" t="s">
        <v>157</v>
      </c>
      <c r="F9" s="42">
        <v>11</v>
      </c>
      <c r="G9" s="50">
        <v>117.0839</v>
      </c>
      <c r="H9" s="50">
        <f t="shared" si="0"/>
        <v>1287.9229</v>
      </c>
    </row>
    <row r="10" spans="2:8" ht="25.5" x14ac:dyDescent="0.25">
      <c r="B10" s="41">
        <v>7</v>
      </c>
      <c r="C10" s="41" t="s">
        <v>642</v>
      </c>
      <c r="D10" s="42" t="s">
        <v>643</v>
      </c>
      <c r="E10" s="41" t="s">
        <v>157</v>
      </c>
      <c r="F10" s="42">
        <v>11</v>
      </c>
      <c r="G10" s="50">
        <v>117.0839</v>
      </c>
      <c r="H10" s="50">
        <f t="shared" si="0"/>
        <v>1287.9229</v>
      </c>
    </row>
    <row r="11" spans="2:8" ht="25.5" x14ac:dyDescent="0.25">
      <c r="B11" s="41">
        <v>8</v>
      </c>
      <c r="C11" s="83" t="s">
        <v>400</v>
      </c>
      <c r="D11" s="82" t="s">
        <v>401</v>
      </c>
      <c r="E11" s="41" t="s">
        <v>157</v>
      </c>
      <c r="F11" s="42">
        <v>17</v>
      </c>
      <c r="G11" s="50">
        <v>52.328000000000003</v>
      </c>
      <c r="H11" s="50">
        <f>F11*G11</f>
        <v>889.57600000000002</v>
      </c>
    </row>
    <row r="12" spans="2:8" ht="25.5" x14ac:dyDescent="0.25">
      <c r="B12" s="41">
        <v>9</v>
      </c>
      <c r="C12" s="72">
        <v>99.1</v>
      </c>
      <c r="D12" s="42" t="s">
        <v>402</v>
      </c>
      <c r="E12" s="41" t="s">
        <v>157</v>
      </c>
      <c r="F12" s="42">
        <v>51</v>
      </c>
      <c r="G12" s="50">
        <v>450.17264933080259</v>
      </c>
      <c r="H12" s="50">
        <f t="shared" si="0"/>
        <v>22958.805115870931</v>
      </c>
    </row>
    <row r="13" spans="2:8" x14ac:dyDescent="0.25">
      <c r="B13" s="41">
        <v>10</v>
      </c>
      <c r="C13" s="41">
        <v>100.1</v>
      </c>
      <c r="D13" s="42" t="s">
        <v>403</v>
      </c>
      <c r="E13" s="41" t="s">
        <v>157</v>
      </c>
      <c r="F13" s="42">
        <v>12</v>
      </c>
      <c r="G13" s="50">
        <v>660.65706873623617</v>
      </c>
      <c r="H13" s="50">
        <f t="shared" si="0"/>
        <v>7927.884824834834</v>
      </c>
    </row>
    <row r="14" spans="2:8" x14ac:dyDescent="0.25">
      <c r="B14" s="41">
        <v>11</v>
      </c>
      <c r="C14" s="72">
        <v>2.1</v>
      </c>
      <c r="D14" s="42" t="s">
        <v>404</v>
      </c>
      <c r="E14" s="41" t="s">
        <v>158</v>
      </c>
      <c r="F14" s="42">
        <v>1</v>
      </c>
      <c r="G14" s="50">
        <v>27607.919643872621</v>
      </c>
      <c r="H14" s="50">
        <f t="shared" si="0"/>
        <v>27607.919643872621</v>
      </c>
    </row>
    <row r="15" spans="2:8" x14ac:dyDescent="0.25">
      <c r="B15" s="41">
        <v>12</v>
      </c>
      <c r="C15" s="41">
        <v>103.1</v>
      </c>
      <c r="D15" s="42" t="s">
        <v>270</v>
      </c>
      <c r="E15" s="41" t="s">
        <v>158</v>
      </c>
      <c r="F15" s="42">
        <v>1</v>
      </c>
      <c r="G15" s="50">
        <v>12821.372923978555</v>
      </c>
      <c r="H15" s="50">
        <f t="shared" si="0"/>
        <v>12821.372923978555</v>
      </c>
    </row>
    <row r="16" spans="2:8" ht="25.5" x14ac:dyDescent="0.25">
      <c r="B16" s="41">
        <v>13</v>
      </c>
      <c r="C16" s="72">
        <v>169.1</v>
      </c>
      <c r="D16" s="42" t="s">
        <v>271</v>
      </c>
      <c r="E16" s="41" t="s">
        <v>158</v>
      </c>
      <c r="F16" s="42">
        <v>8</v>
      </c>
      <c r="G16" s="50">
        <v>770.36160367948594</v>
      </c>
      <c r="H16" s="50">
        <f t="shared" si="0"/>
        <v>6162.8928294358875</v>
      </c>
    </row>
    <row r="17" spans="2:8" x14ac:dyDescent="0.25">
      <c r="B17" s="41">
        <v>14</v>
      </c>
      <c r="C17" s="41" t="s">
        <v>405</v>
      </c>
      <c r="D17" s="42" t="s">
        <v>272</v>
      </c>
      <c r="E17" s="41" t="s">
        <v>158</v>
      </c>
      <c r="F17" s="42">
        <v>8</v>
      </c>
      <c r="G17" s="50">
        <v>114.4675</v>
      </c>
      <c r="H17" s="50">
        <f t="shared" si="0"/>
        <v>915.74</v>
      </c>
    </row>
    <row r="18" spans="2:8" x14ac:dyDescent="0.25">
      <c r="B18" s="41">
        <v>15</v>
      </c>
      <c r="C18" s="41" t="s">
        <v>242</v>
      </c>
      <c r="D18" s="42" t="s">
        <v>281</v>
      </c>
      <c r="E18" s="41" t="s">
        <v>157</v>
      </c>
      <c r="F18" s="42">
        <v>9</v>
      </c>
      <c r="G18" s="50">
        <v>180</v>
      </c>
      <c r="H18" s="50">
        <f t="shared" si="0"/>
        <v>1620</v>
      </c>
    </row>
    <row r="19" spans="2:8" x14ac:dyDescent="0.25">
      <c r="B19" s="41">
        <v>16</v>
      </c>
      <c r="C19" s="41">
        <v>17.100000000000001</v>
      </c>
      <c r="D19" s="42" t="s">
        <v>244</v>
      </c>
      <c r="E19" s="41" t="s">
        <v>222</v>
      </c>
      <c r="F19" s="42">
        <v>5</v>
      </c>
      <c r="G19" s="50">
        <v>258.22244052676297</v>
      </c>
      <c r="H19" s="50">
        <f t="shared" si="0"/>
        <v>1291.1122026338148</v>
      </c>
    </row>
    <row r="20" spans="2:8" x14ac:dyDescent="0.25">
      <c r="B20" s="41">
        <v>17</v>
      </c>
      <c r="C20" s="41">
        <v>18.100000000000001</v>
      </c>
      <c r="D20" s="42" t="s">
        <v>274</v>
      </c>
      <c r="E20" s="41" t="s">
        <v>222</v>
      </c>
      <c r="F20" s="42">
        <v>85</v>
      </c>
      <c r="G20" s="50">
        <v>72.887734862758151</v>
      </c>
      <c r="H20" s="50">
        <f t="shared" si="0"/>
        <v>6195.4574633344428</v>
      </c>
    </row>
    <row r="21" spans="2:8" x14ac:dyDescent="0.25">
      <c r="B21" s="41">
        <v>18</v>
      </c>
      <c r="C21" s="41">
        <v>19.100000000000001</v>
      </c>
      <c r="D21" s="42" t="s">
        <v>275</v>
      </c>
      <c r="E21" s="41" t="s">
        <v>222</v>
      </c>
      <c r="F21" s="42">
        <v>80</v>
      </c>
      <c r="G21" s="50">
        <v>73.140893457460592</v>
      </c>
      <c r="H21" s="50">
        <f t="shared" si="0"/>
        <v>5851.2714765968476</v>
      </c>
    </row>
    <row r="22" spans="2:8" x14ac:dyDescent="0.25">
      <c r="B22" s="41">
        <v>19</v>
      </c>
      <c r="C22" s="72" t="s">
        <v>247</v>
      </c>
      <c r="D22" s="42" t="s">
        <v>276</v>
      </c>
      <c r="E22" s="41" t="s">
        <v>157</v>
      </c>
      <c r="F22" s="42">
        <v>17</v>
      </c>
      <c r="G22" s="50">
        <v>1284</v>
      </c>
      <c r="H22" s="50">
        <f t="shared" si="0"/>
        <v>21828</v>
      </c>
    </row>
    <row r="23" spans="2:8" x14ac:dyDescent="0.25">
      <c r="B23" s="41">
        <v>20</v>
      </c>
      <c r="C23" s="41">
        <v>136.1</v>
      </c>
      <c r="D23" s="42" t="s">
        <v>249</v>
      </c>
      <c r="E23" s="41" t="s">
        <v>222</v>
      </c>
      <c r="F23" s="42">
        <v>34</v>
      </c>
      <c r="G23" s="50">
        <v>75.002923647812892</v>
      </c>
      <c r="H23" s="50">
        <f t="shared" si="0"/>
        <v>2550.0994040256383</v>
      </c>
    </row>
    <row r="24" spans="2:8" x14ac:dyDescent="0.25">
      <c r="B24" s="41">
        <v>21</v>
      </c>
      <c r="C24" s="41" t="s">
        <v>406</v>
      </c>
      <c r="D24" s="42" t="s">
        <v>407</v>
      </c>
      <c r="E24" s="41" t="s">
        <v>250</v>
      </c>
      <c r="F24" s="42">
        <v>6</v>
      </c>
      <c r="G24" s="50">
        <v>274.72199999999998</v>
      </c>
      <c r="H24" s="50">
        <f t="shared" si="0"/>
        <v>1648.3319999999999</v>
      </c>
    </row>
    <row r="25" spans="2:8" x14ac:dyDescent="0.25">
      <c r="B25" s="41">
        <v>22</v>
      </c>
      <c r="C25" s="41" t="s">
        <v>408</v>
      </c>
      <c r="D25" s="42" t="s">
        <v>277</v>
      </c>
      <c r="E25" s="41" t="s">
        <v>250</v>
      </c>
      <c r="F25" s="42">
        <v>6</v>
      </c>
      <c r="G25" s="50">
        <v>141.28559999999999</v>
      </c>
      <c r="H25" s="50">
        <f t="shared" si="0"/>
        <v>847.71359999999993</v>
      </c>
    </row>
    <row r="26" spans="2:8" ht="25.5" x14ac:dyDescent="0.25">
      <c r="B26" s="41">
        <v>23</v>
      </c>
      <c r="C26" s="41" t="s">
        <v>409</v>
      </c>
      <c r="D26" s="42" t="s">
        <v>278</v>
      </c>
      <c r="E26" s="41" t="s">
        <v>158</v>
      </c>
      <c r="F26" s="42">
        <v>3</v>
      </c>
      <c r="G26" s="50">
        <v>3401.3199999999997</v>
      </c>
      <c r="H26" s="50">
        <f t="shared" si="0"/>
        <v>10203.959999999999</v>
      </c>
    </row>
    <row r="27" spans="2:8" ht="25.5" x14ac:dyDescent="0.25">
      <c r="B27" s="41">
        <v>24</v>
      </c>
      <c r="C27" s="41" t="s">
        <v>675</v>
      </c>
      <c r="D27" s="82" t="s">
        <v>676</v>
      </c>
      <c r="E27" s="41" t="s">
        <v>158</v>
      </c>
      <c r="F27" s="42">
        <v>17</v>
      </c>
      <c r="G27" s="50">
        <v>1212</v>
      </c>
      <c r="H27" s="50">
        <f t="shared" si="0"/>
        <v>20604</v>
      </c>
    </row>
    <row r="28" spans="2:8" x14ac:dyDescent="0.25">
      <c r="B28" s="41">
        <v>25</v>
      </c>
      <c r="C28" s="41" t="s">
        <v>410</v>
      </c>
      <c r="D28" s="42" t="s">
        <v>411</v>
      </c>
      <c r="E28" s="41" t="s">
        <v>250</v>
      </c>
      <c r="F28" s="42">
        <v>17</v>
      </c>
      <c r="G28" s="50">
        <v>104.65600000000001</v>
      </c>
      <c r="H28" s="50">
        <f t="shared" si="0"/>
        <v>1779.152</v>
      </c>
    </row>
    <row r="29" spans="2:8" x14ac:dyDescent="0.25">
      <c r="B29" s="41">
        <v>26</v>
      </c>
      <c r="C29" s="41">
        <v>133.1</v>
      </c>
      <c r="D29" s="42" t="s">
        <v>279</v>
      </c>
      <c r="E29" s="41" t="s">
        <v>157</v>
      </c>
      <c r="F29" s="42">
        <v>17</v>
      </c>
      <c r="G29" s="50">
        <v>60.758062728582523</v>
      </c>
      <c r="H29" s="50">
        <f t="shared" si="0"/>
        <v>1032.8870663859029</v>
      </c>
    </row>
    <row r="30" spans="2:8" ht="15" customHeight="1" x14ac:dyDescent="0.25">
      <c r="B30" s="94" t="s">
        <v>74</v>
      </c>
      <c r="C30" s="450" t="s">
        <v>254</v>
      </c>
      <c r="D30" s="450"/>
      <c r="E30" s="450"/>
      <c r="F30" s="450"/>
      <c r="G30" s="450"/>
      <c r="H30" s="127">
        <f>SUM(H4:H29)</f>
        <v>1033387.4680383787</v>
      </c>
    </row>
    <row r="31" spans="2:8" x14ac:dyDescent="0.25">
      <c r="B31" s="41" t="s">
        <v>75</v>
      </c>
      <c r="C31" s="446" t="s">
        <v>255</v>
      </c>
      <c r="D31" s="446"/>
      <c r="E31" s="446"/>
      <c r="F31" s="52" t="s">
        <v>227</v>
      </c>
      <c r="G31" s="53">
        <v>0.03</v>
      </c>
      <c r="H31" s="50">
        <f t="shared" ref="H31:H36" si="1">G31*$H$30</f>
        <v>31001.624041151361</v>
      </c>
    </row>
    <row r="32" spans="2:8" x14ac:dyDescent="0.25">
      <c r="B32" s="41" t="s">
        <v>76</v>
      </c>
      <c r="C32" s="446" t="s">
        <v>256</v>
      </c>
      <c r="D32" s="446"/>
      <c r="E32" s="446"/>
      <c r="F32" s="52" t="s">
        <v>227</v>
      </c>
      <c r="G32" s="53">
        <v>0.03</v>
      </c>
      <c r="H32" s="50">
        <f t="shared" si="1"/>
        <v>31001.624041151361</v>
      </c>
    </row>
    <row r="33" spans="2:8" x14ac:dyDescent="0.25">
      <c r="B33" s="41" t="s">
        <v>77</v>
      </c>
      <c r="C33" s="446" t="s">
        <v>257</v>
      </c>
      <c r="D33" s="446"/>
      <c r="E33" s="446"/>
      <c r="F33" s="52" t="s">
        <v>227</v>
      </c>
      <c r="G33" s="53">
        <v>0.03</v>
      </c>
      <c r="H33" s="50">
        <f t="shared" si="1"/>
        <v>31001.624041151361</v>
      </c>
    </row>
    <row r="34" spans="2:8" x14ac:dyDescent="0.25">
      <c r="B34" s="41" t="s">
        <v>78</v>
      </c>
      <c r="C34" s="446" t="s">
        <v>258</v>
      </c>
      <c r="D34" s="446"/>
      <c r="E34" s="446"/>
      <c r="F34" s="52" t="s">
        <v>227</v>
      </c>
      <c r="G34" s="53">
        <v>0.04</v>
      </c>
      <c r="H34" s="50">
        <f t="shared" si="1"/>
        <v>41335.49872153515</v>
      </c>
    </row>
    <row r="35" spans="2:8" x14ac:dyDescent="0.25">
      <c r="B35" s="41" t="s">
        <v>213</v>
      </c>
      <c r="C35" s="446" t="s">
        <v>259</v>
      </c>
      <c r="D35" s="446"/>
      <c r="E35" s="446"/>
      <c r="F35" s="52" t="s">
        <v>227</v>
      </c>
      <c r="G35" s="53">
        <v>0.02</v>
      </c>
      <c r="H35" s="50">
        <f t="shared" si="1"/>
        <v>20667.749360767575</v>
      </c>
    </row>
    <row r="36" spans="2:8" x14ac:dyDescent="0.25">
      <c r="B36" s="41" t="s">
        <v>92</v>
      </c>
      <c r="C36" s="446" t="s">
        <v>260</v>
      </c>
      <c r="D36" s="446"/>
      <c r="E36" s="446"/>
      <c r="F36" s="52" t="s">
        <v>227</v>
      </c>
      <c r="G36" s="53">
        <v>0.1</v>
      </c>
      <c r="H36" s="50">
        <f t="shared" si="1"/>
        <v>103338.74680383789</v>
      </c>
    </row>
    <row r="37" spans="2:8" x14ac:dyDescent="0.25">
      <c r="B37" s="352" t="s">
        <v>93</v>
      </c>
      <c r="C37" s="451" t="s">
        <v>261</v>
      </c>
      <c r="D37" s="452"/>
      <c r="E37" s="453"/>
      <c r="F37" s="457" t="s">
        <v>144</v>
      </c>
      <c r="G37" s="458"/>
      <c r="H37" s="50">
        <f>'33KV line labour'!N83</f>
        <v>229970.48547624127</v>
      </c>
    </row>
    <row r="38" spans="2:8" x14ac:dyDescent="0.25">
      <c r="B38" s="353"/>
      <c r="C38" s="454"/>
      <c r="D38" s="455"/>
      <c r="E38" s="456"/>
      <c r="F38" s="457" t="s">
        <v>145</v>
      </c>
      <c r="G38" s="458"/>
      <c r="H38" s="50">
        <f>'33KV line labour'!O83</f>
        <v>238566.07819628253</v>
      </c>
    </row>
    <row r="39" spans="2:8" x14ac:dyDescent="0.25">
      <c r="B39" s="331" t="s">
        <v>94</v>
      </c>
      <c r="C39" s="355" t="s">
        <v>262</v>
      </c>
      <c r="D39" s="355"/>
      <c r="E39" s="355"/>
      <c r="F39" s="446" t="s">
        <v>144</v>
      </c>
      <c r="G39" s="446"/>
      <c r="H39" s="128">
        <f>SUM(H30:H37)</f>
        <v>1521704.8205242143</v>
      </c>
    </row>
    <row r="40" spans="2:8" x14ac:dyDescent="0.25">
      <c r="B40" s="331"/>
      <c r="C40" s="355"/>
      <c r="D40" s="355"/>
      <c r="E40" s="355"/>
      <c r="F40" s="446" t="s">
        <v>145</v>
      </c>
      <c r="G40" s="446"/>
      <c r="H40" s="128">
        <f>SUM(H30:H36,H38)</f>
        <v>1530300.4132442556</v>
      </c>
    </row>
  </sheetData>
  <mergeCells count="16">
    <mergeCell ref="B37:B38"/>
    <mergeCell ref="C37:E38"/>
    <mergeCell ref="F37:G37"/>
    <mergeCell ref="F38:G38"/>
    <mergeCell ref="B39:B40"/>
    <mergeCell ref="C39:E40"/>
    <mergeCell ref="F39:G39"/>
    <mergeCell ref="F40:G40"/>
    <mergeCell ref="D2:H2"/>
    <mergeCell ref="C35:E35"/>
    <mergeCell ref="C36:E36"/>
    <mergeCell ref="C30:G30"/>
    <mergeCell ref="C31:E31"/>
    <mergeCell ref="C32:E32"/>
    <mergeCell ref="C33:E33"/>
    <mergeCell ref="C34:E34"/>
  </mergeCells>
  <pageMargins left="0.7" right="0.7" top="0.75" bottom="0.75" header="0.3" footer="0.3"/>
  <pageSetup paperSize="9" scale="92"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0"/>
  <sheetViews>
    <sheetView zoomScaleNormal="100" workbookViewId="0"/>
  </sheetViews>
  <sheetFormatPr defaultRowHeight="15" x14ac:dyDescent="0.25"/>
  <cols>
    <col min="1" max="1" width="9.140625" style="46"/>
    <col min="2" max="2" width="5" style="46" bestFit="1" customWidth="1"/>
    <col min="3" max="3" width="6" style="54" customWidth="1"/>
    <col min="4" max="4" width="49.140625" style="46" customWidth="1"/>
    <col min="5" max="5" width="5.85546875" style="55" customWidth="1"/>
    <col min="6" max="6" width="5.5703125" style="46" customWidth="1"/>
    <col min="7" max="7" width="10.7109375" style="46" bestFit="1" customWidth="1"/>
    <col min="8" max="8" width="10" style="46" customWidth="1"/>
    <col min="9" max="16384" width="9.140625" style="46"/>
  </cols>
  <sheetData>
    <row r="2" spans="2:8" ht="49.5" customHeight="1" x14ac:dyDescent="0.25">
      <c r="C2" s="95"/>
      <c r="D2" s="447" t="s">
        <v>536</v>
      </c>
      <c r="E2" s="448"/>
      <c r="F2" s="448"/>
      <c r="G2" s="448"/>
      <c r="H2" s="449"/>
    </row>
    <row r="3" spans="2:8" ht="24.75" customHeight="1" x14ac:dyDescent="0.25">
      <c r="B3" s="79" t="s">
        <v>114</v>
      </c>
      <c r="C3" s="79" t="s">
        <v>229</v>
      </c>
      <c r="D3" s="79" t="s">
        <v>230</v>
      </c>
      <c r="E3" s="79" t="s">
        <v>0</v>
      </c>
      <c r="F3" s="79" t="s">
        <v>107</v>
      </c>
      <c r="G3" s="79" t="s">
        <v>231</v>
      </c>
      <c r="H3" s="79" t="s">
        <v>232</v>
      </c>
    </row>
    <row r="4" spans="2:8" x14ac:dyDescent="0.25">
      <c r="B4" s="41">
        <v>1</v>
      </c>
      <c r="C4" s="41">
        <v>166.3</v>
      </c>
      <c r="D4" s="42" t="s">
        <v>265</v>
      </c>
      <c r="E4" s="41" t="s">
        <v>157</v>
      </c>
      <c r="F4" s="42">
        <v>17</v>
      </c>
      <c r="G4" s="50">
        <v>30156.75</v>
      </c>
      <c r="H4" s="50">
        <f t="shared" ref="H4:H29" si="0">F4*G4</f>
        <v>512664.75</v>
      </c>
    </row>
    <row r="5" spans="2:8" x14ac:dyDescent="0.25">
      <c r="B5" s="41">
        <v>2</v>
      </c>
      <c r="C5" s="72">
        <v>22.1</v>
      </c>
      <c r="D5" s="42" t="s">
        <v>233</v>
      </c>
      <c r="E5" s="41" t="s">
        <v>234</v>
      </c>
      <c r="F5" s="49">
        <v>3.177</v>
      </c>
      <c r="G5" s="50">
        <v>66843.927133406833</v>
      </c>
      <c r="H5" s="50">
        <f t="shared" si="0"/>
        <v>212363.1565028335</v>
      </c>
    </row>
    <row r="6" spans="2:8" x14ac:dyDescent="0.25">
      <c r="B6" s="41">
        <v>3</v>
      </c>
      <c r="C6" s="41" t="s">
        <v>398</v>
      </c>
      <c r="D6" s="42" t="s">
        <v>267</v>
      </c>
      <c r="E6" s="41" t="s">
        <v>157</v>
      </c>
      <c r="F6" s="42">
        <v>14</v>
      </c>
      <c r="G6" s="50">
        <v>189.68899999999999</v>
      </c>
      <c r="H6" s="50">
        <f t="shared" si="0"/>
        <v>2655.6459999999997</v>
      </c>
    </row>
    <row r="7" spans="2:8" x14ac:dyDescent="0.25">
      <c r="B7" s="41">
        <v>4</v>
      </c>
      <c r="C7" s="41" t="s">
        <v>399</v>
      </c>
      <c r="D7" s="42" t="s">
        <v>268</v>
      </c>
      <c r="E7" s="41" t="s">
        <v>157</v>
      </c>
      <c r="F7" s="42">
        <v>14</v>
      </c>
      <c r="G7" s="50">
        <v>117.0839</v>
      </c>
      <c r="H7" s="50">
        <f t="shared" si="0"/>
        <v>1639.1746000000001</v>
      </c>
    </row>
    <row r="8" spans="2:8" x14ac:dyDescent="0.25">
      <c r="B8" s="41">
        <v>5</v>
      </c>
      <c r="C8" s="41" t="s">
        <v>377</v>
      </c>
      <c r="D8" s="42" t="s">
        <v>269</v>
      </c>
      <c r="E8" s="41" t="s">
        <v>157</v>
      </c>
      <c r="F8" s="42">
        <v>11</v>
      </c>
      <c r="G8" s="50">
        <v>1339.5968</v>
      </c>
      <c r="H8" s="50">
        <f t="shared" si="0"/>
        <v>14735.5648</v>
      </c>
    </row>
    <row r="9" spans="2:8" x14ac:dyDescent="0.25">
      <c r="B9" s="41">
        <v>6</v>
      </c>
      <c r="C9" s="41" t="s">
        <v>399</v>
      </c>
      <c r="D9" s="42" t="s">
        <v>641</v>
      </c>
      <c r="E9" s="41" t="s">
        <v>157</v>
      </c>
      <c r="F9" s="42">
        <v>11</v>
      </c>
      <c r="G9" s="50">
        <v>117.0839</v>
      </c>
      <c r="H9" s="50">
        <f t="shared" si="0"/>
        <v>1287.9229</v>
      </c>
    </row>
    <row r="10" spans="2:8" ht="25.5" x14ac:dyDescent="0.25">
      <c r="B10" s="41">
        <v>7</v>
      </c>
      <c r="C10" s="41" t="s">
        <v>642</v>
      </c>
      <c r="D10" s="42" t="s">
        <v>643</v>
      </c>
      <c r="E10" s="41" t="s">
        <v>157</v>
      </c>
      <c r="F10" s="42">
        <v>11</v>
      </c>
      <c r="G10" s="50">
        <v>117.0839</v>
      </c>
      <c r="H10" s="50">
        <f t="shared" si="0"/>
        <v>1287.9229</v>
      </c>
    </row>
    <row r="11" spans="2:8" ht="25.5" x14ac:dyDescent="0.25">
      <c r="B11" s="41">
        <v>8</v>
      </c>
      <c r="C11" s="83" t="s">
        <v>400</v>
      </c>
      <c r="D11" s="82" t="s">
        <v>401</v>
      </c>
      <c r="E11" s="41" t="s">
        <v>157</v>
      </c>
      <c r="F11" s="42">
        <v>17</v>
      </c>
      <c r="G11" s="50">
        <v>52.328000000000003</v>
      </c>
      <c r="H11" s="50">
        <f>F11*G11</f>
        <v>889.57600000000002</v>
      </c>
    </row>
    <row r="12" spans="2:8" ht="25.5" x14ac:dyDescent="0.25">
      <c r="B12" s="41">
        <v>9</v>
      </c>
      <c r="C12" s="72">
        <v>99.1</v>
      </c>
      <c r="D12" s="42" t="s">
        <v>402</v>
      </c>
      <c r="E12" s="41" t="s">
        <v>157</v>
      </c>
      <c r="F12" s="42">
        <v>51</v>
      </c>
      <c r="G12" s="50">
        <v>450.17264933080259</v>
      </c>
      <c r="H12" s="50">
        <f t="shared" si="0"/>
        <v>22958.805115870931</v>
      </c>
    </row>
    <row r="13" spans="2:8" x14ac:dyDescent="0.25">
      <c r="B13" s="41">
        <v>10</v>
      </c>
      <c r="C13" s="41">
        <v>100.1</v>
      </c>
      <c r="D13" s="42" t="s">
        <v>403</v>
      </c>
      <c r="E13" s="41" t="s">
        <v>157</v>
      </c>
      <c r="F13" s="42">
        <v>12</v>
      </c>
      <c r="G13" s="50">
        <v>660.65706873623617</v>
      </c>
      <c r="H13" s="50">
        <f t="shared" si="0"/>
        <v>7927.884824834834</v>
      </c>
    </row>
    <row r="14" spans="2:8" x14ac:dyDescent="0.25">
      <c r="B14" s="41">
        <v>11</v>
      </c>
      <c r="C14" s="72">
        <v>2.1</v>
      </c>
      <c r="D14" s="42" t="s">
        <v>404</v>
      </c>
      <c r="E14" s="41" t="s">
        <v>158</v>
      </c>
      <c r="F14" s="42">
        <v>1</v>
      </c>
      <c r="G14" s="50">
        <v>27607.919643872621</v>
      </c>
      <c r="H14" s="50">
        <f t="shared" si="0"/>
        <v>27607.919643872621</v>
      </c>
    </row>
    <row r="15" spans="2:8" x14ac:dyDescent="0.25">
      <c r="B15" s="41">
        <v>12</v>
      </c>
      <c r="C15" s="41">
        <v>103.1</v>
      </c>
      <c r="D15" s="42" t="s">
        <v>270</v>
      </c>
      <c r="E15" s="41" t="s">
        <v>158</v>
      </c>
      <c r="F15" s="42">
        <v>1</v>
      </c>
      <c r="G15" s="50">
        <v>12821.372923978555</v>
      </c>
      <c r="H15" s="50">
        <f t="shared" si="0"/>
        <v>12821.372923978555</v>
      </c>
    </row>
    <row r="16" spans="2:8" ht="25.5" x14ac:dyDescent="0.25">
      <c r="B16" s="41">
        <v>13</v>
      </c>
      <c r="C16" s="72">
        <v>169.1</v>
      </c>
      <c r="D16" s="42" t="s">
        <v>271</v>
      </c>
      <c r="E16" s="41" t="s">
        <v>158</v>
      </c>
      <c r="F16" s="42">
        <v>8</v>
      </c>
      <c r="G16" s="50">
        <v>770.36160367948594</v>
      </c>
      <c r="H16" s="50">
        <f t="shared" si="0"/>
        <v>6162.8928294358875</v>
      </c>
    </row>
    <row r="17" spans="2:8" x14ac:dyDescent="0.25">
      <c r="B17" s="41">
        <v>14</v>
      </c>
      <c r="C17" s="41" t="s">
        <v>405</v>
      </c>
      <c r="D17" s="42" t="s">
        <v>272</v>
      </c>
      <c r="E17" s="41" t="s">
        <v>158</v>
      </c>
      <c r="F17" s="42">
        <v>8</v>
      </c>
      <c r="G17" s="50">
        <v>114.4675</v>
      </c>
      <c r="H17" s="50">
        <f t="shared" si="0"/>
        <v>915.74</v>
      </c>
    </row>
    <row r="18" spans="2:8" x14ac:dyDescent="0.25">
      <c r="B18" s="41">
        <v>15</v>
      </c>
      <c r="C18" s="41" t="s">
        <v>242</v>
      </c>
      <c r="D18" s="42" t="s">
        <v>282</v>
      </c>
      <c r="E18" s="41" t="s">
        <v>157</v>
      </c>
      <c r="F18" s="42">
        <v>9</v>
      </c>
      <c r="G18" s="50">
        <v>180</v>
      </c>
      <c r="H18" s="50">
        <f t="shared" si="0"/>
        <v>1620</v>
      </c>
    </row>
    <row r="19" spans="2:8" x14ac:dyDescent="0.25">
      <c r="B19" s="41">
        <v>16</v>
      </c>
      <c r="C19" s="41">
        <v>17.100000000000001</v>
      </c>
      <c r="D19" s="42" t="s">
        <v>244</v>
      </c>
      <c r="E19" s="41" t="s">
        <v>222</v>
      </c>
      <c r="F19" s="42">
        <v>5</v>
      </c>
      <c r="G19" s="50">
        <v>258.22244052676297</v>
      </c>
      <c r="H19" s="50">
        <f t="shared" si="0"/>
        <v>1291.1122026338148</v>
      </c>
    </row>
    <row r="20" spans="2:8" x14ac:dyDescent="0.25">
      <c r="B20" s="41">
        <v>17</v>
      </c>
      <c r="C20" s="41">
        <v>18.100000000000001</v>
      </c>
      <c r="D20" s="42" t="s">
        <v>274</v>
      </c>
      <c r="E20" s="41" t="s">
        <v>222</v>
      </c>
      <c r="F20" s="42">
        <v>85</v>
      </c>
      <c r="G20" s="50">
        <v>72.887734862758151</v>
      </c>
      <c r="H20" s="50">
        <f t="shared" si="0"/>
        <v>6195.4574633344428</v>
      </c>
    </row>
    <row r="21" spans="2:8" x14ac:dyDescent="0.25">
      <c r="B21" s="41">
        <v>18</v>
      </c>
      <c r="C21" s="41">
        <v>19.100000000000001</v>
      </c>
      <c r="D21" s="42" t="s">
        <v>275</v>
      </c>
      <c r="E21" s="41" t="s">
        <v>222</v>
      </c>
      <c r="F21" s="42">
        <v>80</v>
      </c>
      <c r="G21" s="50">
        <v>73.140893457460592</v>
      </c>
      <c r="H21" s="50">
        <f t="shared" si="0"/>
        <v>5851.2714765968476</v>
      </c>
    </row>
    <row r="22" spans="2:8" x14ac:dyDescent="0.25">
      <c r="B22" s="41">
        <v>19</v>
      </c>
      <c r="C22" s="72" t="s">
        <v>247</v>
      </c>
      <c r="D22" s="42" t="s">
        <v>276</v>
      </c>
      <c r="E22" s="41" t="s">
        <v>157</v>
      </c>
      <c r="F22" s="42">
        <v>17</v>
      </c>
      <c r="G22" s="50">
        <v>1284</v>
      </c>
      <c r="H22" s="50">
        <f t="shared" si="0"/>
        <v>21828</v>
      </c>
    </row>
    <row r="23" spans="2:8" x14ac:dyDescent="0.25">
      <c r="B23" s="41">
        <v>20</v>
      </c>
      <c r="C23" s="41">
        <v>136.1</v>
      </c>
      <c r="D23" s="42" t="s">
        <v>249</v>
      </c>
      <c r="E23" s="41" t="s">
        <v>222</v>
      </c>
      <c r="F23" s="42">
        <v>34</v>
      </c>
      <c r="G23" s="50">
        <v>75.002923647812892</v>
      </c>
      <c r="H23" s="50">
        <f t="shared" si="0"/>
        <v>2550.0994040256383</v>
      </c>
    </row>
    <row r="24" spans="2:8" x14ac:dyDescent="0.25">
      <c r="B24" s="41">
        <v>21</v>
      </c>
      <c r="C24" s="41" t="s">
        <v>406</v>
      </c>
      <c r="D24" s="42" t="s">
        <v>407</v>
      </c>
      <c r="E24" s="41" t="s">
        <v>250</v>
      </c>
      <c r="F24" s="42">
        <v>6</v>
      </c>
      <c r="G24" s="50">
        <v>274.72199999999998</v>
      </c>
      <c r="H24" s="50">
        <f t="shared" si="0"/>
        <v>1648.3319999999999</v>
      </c>
    </row>
    <row r="25" spans="2:8" x14ac:dyDescent="0.25">
      <c r="B25" s="41">
        <v>22</v>
      </c>
      <c r="C25" s="41" t="s">
        <v>408</v>
      </c>
      <c r="D25" s="42" t="s">
        <v>277</v>
      </c>
      <c r="E25" s="41" t="s">
        <v>250</v>
      </c>
      <c r="F25" s="42">
        <v>6</v>
      </c>
      <c r="G25" s="50">
        <v>141.28559999999999</v>
      </c>
      <c r="H25" s="50">
        <f t="shared" si="0"/>
        <v>847.71359999999993</v>
      </c>
    </row>
    <row r="26" spans="2:8" ht="25.5" x14ac:dyDescent="0.25">
      <c r="B26" s="41">
        <v>23</v>
      </c>
      <c r="C26" s="41" t="s">
        <v>409</v>
      </c>
      <c r="D26" s="42" t="s">
        <v>278</v>
      </c>
      <c r="E26" s="41" t="s">
        <v>158</v>
      </c>
      <c r="F26" s="42">
        <v>3</v>
      </c>
      <c r="G26" s="50">
        <v>3401.3199999999997</v>
      </c>
      <c r="H26" s="50">
        <f t="shared" si="0"/>
        <v>10203.959999999999</v>
      </c>
    </row>
    <row r="27" spans="2:8" ht="25.5" x14ac:dyDescent="0.25">
      <c r="B27" s="41">
        <v>24</v>
      </c>
      <c r="C27" s="41" t="s">
        <v>675</v>
      </c>
      <c r="D27" s="82" t="s">
        <v>676</v>
      </c>
      <c r="E27" s="41" t="s">
        <v>158</v>
      </c>
      <c r="F27" s="42">
        <v>17</v>
      </c>
      <c r="G27" s="50">
        <v>1212</v>
      </c>
      <c r="H27" s="50">
        <f t="shared" si="0"/>
        <v>20604</v>
      </c>
    </row>
    <row r="28" spans="2:8" x14ac:dyDescent="0.25">
      <c r="B28" s="41">
        <v>25</v>
      </c>
      <c r="C28" s="41" t="s">
        <v>410</v>
      </c>
      <c r="D28" s="42" t="s">
        <v>411</v>
      </c>
      <c r="E28" s="41" t="s">
        <v>250</v>
      </c>
      <c r="F28" s="42">
        <v>17</v>
      </c>
      <c r="G28" s="50">
        <v>104.65600000000001</v>
      </c>
      <c r="H28" s="50">
        <f t="shared" si="0"/>
        <v>1779.152</v>
      </c>
    </row>
    <row r="29" spans="2:8" x14ac:dyDescent="0.25">
      <c r="B29" s="41">
        <v>26</v>
      </c>
      <c r="C29" s="41">
        <v>133.1</v>
      </c>
      <c r="D29" s="42" t="s">
        <v>279</v>
      </c>
      <c r="E29" s="41" t="s">
        <v>157</v>
      </c>
      <c r="F29" s="42">
        <v>17</v>
      </c>
      <c r="G29" s="50">
        <v>60.758062728582523</v>
      </c>
      <c r="H29" s="50">
        <f t="shared" si="0"/>
        <v>1032.8870663859029</v>
      </c>
    </row>
    <row r="30" spans="2:8" ht="15" customHeight="1" x14ac:dyDescent="0.25">
      <c r="B30" s="94" t="s">
        <v>74</v>
      </c>
      <c r="C30" s="450" t="s">
        <v>254</v>
      </c>
      <c r="D30" s="450"/>
      <c r="E30" s="450"/>
      <c r="F30" s="450"/>
      <c r="G30" s="450"/>
      <c r="H30" s="127">
        <f>SUM(H4:H29)</f>
        <v>901370.31425380311</v>
      </c>
    </row>
    <row r="31" spans="2:8" x14ac:dyDescent="0.25">
      <c r="B31" s="41" t="s">
        <v>75</v>
      </c>
      <c r="C31" s="446" t="s">
        <v>255</v>
      </c>
      <c r="D31" s="446"/>
      <c r="E31" s="446"/>
      <c r="F31" s="52" t="s">
        <v>227</v>
      </c>
      <c r="G31" s="53">
        <v>0.03</v>
      </c>
      <c r="H31" s="50">
        <f t="shared" ref="H31:H36" si="1">G31*$H$30</f>
        <v>27041.109427614094</v>
      </c>
    </row>
    <row r="32" spans="2:8" x14ac:dyDescent="0.25">
      <c r="B32" s="41" t="s">
        <v>76</v>
      </c>
      <c r="C32" s="446" t="s">
        <v>256</v>
      </c>
      <c r="D32" s="446"/>
      <c r="E32" s="446"/>
      <c r="F32" s="52" t="s">
        <v>227</v>
      </c>
      <c r="G32" s="53">
        <v>0.03</v>
      </c>
      <c r="H32" s="50">
        <f t="shared" si="1"/>
        <v>27041.109427614094</v>
      </c>
    </row>
    <row r="33" spans="2:8" x14ac:dyDescent="0.25">
      <c r="B33" s="41" t="s">
        <v>77</v>
      </c>
      <c r="C33" s="446" t="s">
        <v>257</v>
      </c>
      <c r="D33" s="446"/>
      <c r="E33" s="446"/>
      <c r="F33" s="52" t="s">
        <v>227</v>
      </c>
      <c r="G33" s="53">
        <v>0.03</v>
      </c>
      <c r="H33" s="50">
        <f t="shared" si="1"/>
        <v>27041.109427614094</v>
      </c>
    </row>
    <row r="34" spans="2:8" x14ac:dyDescent="0.25">
      <c r="B34" s="41" t="s">
        <v>78</v>
      </c>
      <c r="C34" s="446" t="s">
        <v>258</v>
      </c>
      <c r="D34" s="446"/>
      <c r="E34" s="446"/>
      <c r="F34" s="52" t="s">
        <v>227</v>
      </c>
      <c r="G34" s="53">
        <v>0.04</v>
      </c>
      <c r="H34" s="50">
        <f t="shared" si="1"/>
        <v>36054.812570152128</v>
      </c>
    </row>
    <row r="35" spans="2:8" x14ac:dyDescent="0.25">
      <c r="B35" s="41" t="s">
        <v>213</v>
      </c>
      <c r="C35" s="446" t="s">
        <v>259</v>
      </c>
      <c r="D35" s="446"/>
      <c r="E35" s="446"/>
      <c r="F35" s="52" t="s">
        <v>227</v>
      </c>
      <c r="G35" s="53">
        <v>0.02</v>
      </c>
      <c r="H35" s="50">
        <f t="shared" si="1"/>
        <v>18027.406285076064</v>
      </c>
    </row>
    <row r="36" spans="2:8" x14ac:dyDescent="0.25">
      <c r="B36" s="41" t="s">
        <v>92</v>
      </c>
      <c r="C36" s="446" t="s">
        <v>260</v>
      </c>
      <c r="D36" s="446"/>
      <c r="E36" s="446"/>
      <c r="F36" s="52" t="s">
        <v>227</v>
      </c>
      <c r="G36" s="53">
        <v>0.1</v>
      </c>
      <c r="H36" s="50">
        <f t="shared" si="1"/>
        <v>90137.031425380323</v>
      </c>
    </row>
    <row r="37" spans="2:8" x14ac:dyDescent="0.25">
      <c r="B37" s="352" t="s">
        <v>93</v>
      </c>
      <c r="C37" s="451" t="s">
        <v>261</v>
      </c>
      <c r="D37" s="452"/>
      <c r="E37" s="453"/>
      <c r="F37" s="457" t="s">
        <v>144</v>
      </c>
      <c r="G37" s="458"/>
      <c r="H37" s="50">
        <f>'33KV line labour'!Q83</f>
        <v>204275.27865146589</v>
      </c>
    </row>
    <row r="38" spans="2:8" x14ac:dyDescent="0.25">
      <c r="B38" s="353"/>
      <c r="C38" s="454"/>
      <c r="D38" s="455"/>
      <c r="E38" s="456"/>
      <c r="F38" s="457" t="s">
        <v>145</v>
      </c>
      <c r="G38" s="458"/>
      <c r="H38" s="50">
        <f>'33KV line labour'!R83</f>
        <v>212870.87137150712</v>
      </c>
    </row>
    <row r="39" spans="2:8" x14ac:dyDescent="0.25">
      <c r="B39" s="331" t="s">
        <v>94</v>
      </c>
      <c r="C39" s="355" t="s">
        <v>262</v>
      </c>
      <c r="D39" s="355"/>
      <c r="E39" s="355"/>
      <c r="F39" s="446" t="s">
        <v>144</v>
      </c>
      <c r="G39" s="446"/>
      <c r="H39" s="128">
        <f>SUM(H30:H37)</f>
        <v>1330988.1714687198</v>
      </c>
    </row>
    <row r="40" spans="2:8" x14ac:dyDescent="0.25">
      <c r="B40" s="331"/>
      <c r="C40" s="355"/>
      <c r="D40" s="355"/>
      <c r="E40" s="355"/>
      <c r="F40" s="446" t="s">
        <v>145</v>
      </c>
      <c r="G40" s="446"/>
      <c r="H40" s="128">
        <f>SUM(H30:H36,H38)</f>
        <v>1339583.7641887611</v>
      </c>
    </row>
  </sheetData>
  <mergeCells count="16">
    <mergeCell ref="B37:B38"/>
    <mergeCell ref="C37:E38"/>
    <mergeCell ref="F37:G37"/>
    <mergeCell ref="F38:G38"/>
    <mergeCell ref="B39:B40"/>
    <mergeCell ref="C39:E40"/>
    <mergeCell ref="F39:G39"/>
    <mergeCell ref="F40:G40"/>
    <mergeCell ref="D2:H2"/>
    <mergeCell ref="C35:E35"/>
    <mergeCell ref="C36:E36"/>
    <mergeCell ref="C30:G30"/>
    <mergeCell ref="C31:E31"/>
    <mergeCell ref="C32:E32"/>
    <mergeCell ref="C33:E33"/>
    <mergeCell ref="C34:E34"/>
  </mergeCells>
  <pageMargins left="0.7" right="0.7" top="0.75" bottom="0.75" header="0.3" footer="0.3"/>
  <pageSetup paperSize="7" scale="7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9"/>
  <sheetViews>
    <sheetView zoomScaleNormal="100" workbookViewId="0"/>
  </sheetViews>
  <sheetFormatPr defaultRowHeight="15" x14ac:dyDescent="0.25"/>
  <cols>
    <col min="1" max="1" width="9.140625" style="46"/>
    <col min="2" max="2" width="5" style="46" bestFit="1" customWidth="1"/>
    <col min="3" max="3" width="6" style="54" customWidth="1"/>
    <col min="4" max="4" width="49.140625" style="46" customWidth="1"/>
    <col min="5" max="5" width="5.85546875" style="55" customWidth="1"/>
    <col min="6" max="6" width="5.5703125" style="46" customWidth="1"/>
    <col min="7" max="7" width="10.7109375" style="46" bestFit="1" customWidth="1"/>
    <col min="8" max="8" width="10" style="46" customWidth="1"/>
    <col min="9" max="9" width="9.140625" style="46"/>
    <col min="10" max="10" width="9.5703125" style="46" customWidth="1"/>
    <col min="11" max="16384" width="9.140625" style="46"/>
  </cols>
  <sheetData>
    <row r="2" spans="1:8" ht="49.5" customHeight="1" x14ac:dyDescent="0.25">
      <c r="C2" s="95"/>
      <c r="D2" s="447" t="s">
        <v>537</v>
      </c>
      <c r="E2" s="448"/>
      <c r="F2" s="448"/>
      <c r="G2" s="448"/>
      <c r="H2" s="449"/>
    </row>
    <row r="3" spans="1:8" ht="25.5" x14ac:dyDescent="0.25">
      <c r="B3" s="79" t="s">
        <v>114</v>
      </c>
      <c r="C3" s="79" t="s">
        <v>229</v>
      </c>
      <c r="D3" s="79" t="s">
        <v>230</v>
      </c>
      <c r="E3" s="79" t="s">
        <v>0</v>
      </c>
      <c r="F3" s="79" t="s">
        <v>107</v>
      </c>
      <c r="G3" s="79" t="s">
        <v>231</v>
      </c>
      <c r="H3" s="79" t="s">
        <v>232</v>
      </c>
    </row>
    <row r="4" spans="1:8" x14ac:dyDescent="0.25">
      <c r="B4" s="41">
        <v>1</v>
      </c>
      <c r="C4" s="72">
        <v>164.1</v>
      </c>
      <c r="D4" s="152" t="s">
        <v>308</v>
      </c>
      <c r="E4" s="41" t="s">
        <v>157</v>
      </c>
      <c r="F4" s="42">
        <v>20</v>
      </c>
      <c r="G4" s="50">
        <v>4754.7768663261377</v>
      </c>
      <c r="H4" s="50">
        <f>F4*G4</f>
        <v>95095.537326522754</v>
      </c>
    </row>
    <row r="5" spans="1:8" x14ac:dyDescent="0.25">
      <c r="B5" s="41">
        <v>2</v>
      </c>
      <c r="C5" s="41">
        <v>22.1</v>
      </c>
      <c r="D5" s="42" t="s">
        <v>233</v>
      </c>
      <c r="E5" s="41" t="s">
        <v>234</v>
      </c>
      <c r="F5" s="49">
        <v>3.177</v>
      </c>
      <c r="G5" s="50">
        <v>66843.927133406833</v>
      </c>
      <c r="H5" s="50">
        <f t="shared" ref="H5:H28" si="0">F5*G5</f>
        <v>212363.1565028335</v>
      </c>
    </row>
    <row r="6" spans="1:8" x14ac:dyDescent="0.25">
      <c r="B6" s="41">
        <v>3</v>
      </c>
      <c r="C6" s="41" t="s">
        <v>412</v>
      </c>
      <c r="D6" s="85" t="s">
        <v>413</v>
      </c>
      <c r="E6" s="41" t="s">
        <v>157</v>
      </c>
      <c r="F6" s="42">
        <v>14</v>
      </c>
      <c r="G6" s="50">
        <v>137.36099999999999</v>
      </c>
      <c r="H6" s="50">
        <f t="shared" si="0"/>
        <v>1923.0539999999999</v>
      </c>
    </row>
    <row r="7" spans="1:8" x14ac:dyDescent="0.25">
      <c r="B7" s="41">
        <v>4</v>
      </c>
      <c r="C7" s="41" t="s">
        <v>414</v>
      </c>
      <c r="D7" s="42" t="s">
        <v>235</v>
      </c>
      <c r="E7" s="41" t="s">
        <v>157</v>
      </c>
      <c r="F7" s="42">
        <v>14</v>
      </c>
      <c r="G7" s="50">
        <v>127.53</v>
      </c>
      <c r="H7" s="50">
        <f t="shared" si="0"/>
        <v>1785.42</v>
      </c>
    </row>
    <row r="8" spans="1:8" x14ac:dyDescent="0.25">
      <c r="B8" s="41">
        <v>5</v>
      </c>
      <c r="C8" s="41" t="s">
        <v>684</v>
      </c>
      <c r="D8" s="42" t="s">
        <v>236</v>
      </c>
      <c r="E8" s="41" t="s">
        <v>157</v>
      </c>
      <c r="F8" s="42">
        <v>14</v>
      </c>
      <c r="G8" s="50">
        <v>714.93129999999996</v>
      </c>
      <c r="H8" s="50">
        <f t="shared" si="0"/>
        <v>10009.038199999999</v>
      </c>
    </row>
    <row r="9" spans="1:8" x14ac:dyDescent="0.25">
      <c r="B9" s="41">
        <v>6</v>
      </c>
      <c r="C9" s="41" t="s">
        <v>414</v>
      </c>
      <c r="D9" s="42" t="s">
        <v>237</v>
      </c>
      <c r="E9" s="41" t="s">
        <v>157</v>
      </c>
      <c r="F9" s="42">
        <v>14</v>
      </c>
      <c r="G9" s="50">
        <v>127.53</v>
      </c>
      <c r="H9" s="50">
        <f t="shared" si="0"/>
        <v>1785.42</v>
      </c>
    </row>
    <row r="10" spans="1:8" x14ac:dyDescent="0.25">
      <c r="B10" s="41">
        <v>7</v>
      </c>
      <c r="C10" s="41" t="s">
        <v>415</v>
      </c>
      <c r="D10" s="42" t="s">
        <v>238</v>
      </c>
      <c r="E10" s="41" t="s">
        <v>239</v>
      </c>
      <c r="F10" s="42">
        <v>14</v>
      </c>
      <c r="G10" s="50">
        <v>127.53</v>
      </c>
      <c r="H10" s="50">
        <f t="shared" si="0"/>
        <v>1785.42</v>
      </c>
    </row>
    <row r="11" spans="1:8" ht="25.5" x14ac:dyDescent="0.25">
      <c r="A11" s="51"/>
      <c r="B11" s="41">
        <v>8</v>
      </c>
      <c r="C11" s="41">
        <v>101.1</v>
      </c>
      <c r="D11" s="42" t="s">
        <v>416</v>
      </c>
      <c r="E11" s="41" t="s">
        <v>157</v>
      </c>
      <c r="F11" s="42">
        <v>60</v>
      </c>
      <c r="G11" s="50">
        <v>154.69497662030849</v>
      </c>
      <c r="H11" s="50">
        <f t="shared" si="0"/>
        <v>9281.6985972185103</v>
      </c>
    </row>
    <row r="12" spans="1:8" x14ac:dyDescent="0.25">
      <c r="B12" s="41">
        <v>9</v>
      </c>
      <c r="C12" s="41">
        <v>102.1</v>
      </c>
      <c r="D12" s="42" t="s">
        <v>417</v>
      </c>
      <c r="E12" s="41" t="s">
        <v>157</v>
      </c>
      <c r="F12" s="42">
        <v>12</v>
      </c>
      <c r="G12" s="50">
        <v>229.02385941322578</v>
      </c>
      <c r="H12" s="50">
        <f t="shared" si="0"/>
        <v>2748.2863129587095</v>
      </c>
    </row>
    <row r="13" spans="1:8" x14ac:dyDescent="0.25">
      <c r="B13" s="41">
        <v>10</v>
      </c>
      <c r="C13" s="41" t="s">
        <v>418</v>
      </c>
      <c r="D13" s="42" t="s">
        <v>240</v>
      </c>
      <c r="E13" s="41" t="s">
        <v>158</v>
      </c>
      <c r="F13" s="42">
        <v>1</v>
      </c>
      <c r="G13" s="50">
        <v>16932.803802509399</v>
      </c>
      <c r="H13" s="50">
        <f t="shared" si="0"/>
        <v>16932.803802509399</v>
      </c>
    </row>
    <row r="14" spans="1:8" x14ac:dyDescent="0.25">
      <c r="B14" s="41">
        <v>11</v>
      </c>
      <c r="C14" s="41">
        <v>104.1</v>
      </c>
      <c r="D14" s="42" t="s">
        <v>241</v>
      </c>
      <c r="E14" s="41" t="s">
        <v>158</v>
      </c>
      <c r="F14" s="42">
        <v>1</v>
      </c>
      <c r="G14" s="50">
        <v>2003.6613836898032</v>
      </c>
      <c r="H14" s="50">
        <f t="shared" si="0"/>
        <v>2003.6613836898032</v>
      </c>
    </row>
    <row r="15" spans="1:8" ht="25.5" x14ac:dyDescent="0.25">
      <c r="B15" s="41">
        <v>12</v>
      </c>
      <c r="C15" s="41">
        <v>170.1</v>
      </c>
      <c r="D15" s="42" t="s">
        <v>419</v>
      </c>
      <c r="E15" s="41" t="s">
        <v>158</v>
      </c>
      <c r="F15" s="42">
        <v>8</v>
      </c>
      <c r="G15" s="50">
        <v>651.3770641693452</v>
      </c>
      <c r="H15" s="50">
        <f t="shared" si="0"/>
        <v>5211.0165133547616</v>
      </c>
    </row>
    <row r="16" spans="1:8" x14ac:dyDescent="0.25">
      <c r="B16" s="41">
        <v>13</v>
      </c>
      <c r="C16" s="41" t="s">
        <v>420</v>
      </c>
      <c r="D16" s="42" t="s">
        <v>421</v>
      </c>
      <c r="E16" s="41" t="s">
        <v>158</v>
      </c>
      <c r="F16" s="42">
        <v>8</v>
      </c>
      <c r="G16" s="50">
        <v>127.54949999999999</v>
      </c>
      <c r="H16" s="50">
        <f t="shared" si="0"/>
        <v>1020.396</v>
      </c>
    </row>
    <row r="17" spans="2:8" x14ac:dyDescent="0.25">
      <c r="B17" s="41">
        <v>14</v>
      </c>
      <c r="C17" s="72">
        <v>123.1</v>
      </c>
      <c r="D17" s="42" t="s">
        <v>282</v>
      </c>
      <c r="E17" s="41" t="s">
        <v>157</v>
      </c>
      <c r="F17" s="42">
        <v>9</v>
      </c>
      <c r="G17" s="50">
        <v>39.239582178876212</v>
      </c>
      <c r="H17" s="50">
        <f t="shared" si="0"/>
        <v>353.15623960988592</v>
      </c>
    </row>
    <row r="18" spans="2:8" x14ac:dyDescent="0.25">
      <c r="B18" s="41">
        <v>15</v>
      </c>
      <c r="C18" s="72">
        <v>17.100000000000001</v>
      </c>
      <c r="D18" s="42" t="s">
        <v>244</v>
      </c>
      <c r="E18" s="41" t="s">
        <v>222</v>
      </c>
      <c r="F18" s="42">
        <v>5</v>
      </c>
      <c r="G18" s="50">
        <v>258.22244052676297</v>
      </c>
      <c r="H18" s="50">
        <f t="shared" si="0"/>
        <v>1291.1122026338148</v>
      </c>
    </row>
    <row r="19" spans="2:8" x14ac:dyDescent="0.25">
      <c r="B19" s="41">
        <v>16</v>
      </c>
      <c r="C19" s="72">
        <v>18.100000000000001</v>
      </c>
      <c r="D19" s="42" t="s">
        <v>245</v>
      </c>
      <c r="E19" s="41" t="s">
        <v>222</v>
      </c>
      <c r="F19" s="42">
        <v>85</v>
      </c>
      <c r="G19" s="50">
        <v>72.887734862758151</v>
      </c>
      <c r="H19" s="50">
        <f t="shared" si="0"/>
        <v>6195.4574633344428</v>
      </c>
    </row>
    <row r="20" spans="2:8" x14ac:dyDescent="0.25">
      <c r="B20" s="41">
        <v>17</v>
      </c>
      <c r="C20" s="41">
        <v>19.100000000000001</v>
      </c>
      <c r="D20" s="42" t="s">
        <v>246</v>
      </c>
      <c r="E20" s="41" t="s">
        <v>222</v>
      </c>
      <c r="F20" s="42">
        <v>60</v>
      </c>
      <c r="G20" s="50">
        <v>73.140893457460592</v>
      </c>
      <c r="H20" s="50">
        <f t="shared" si="0"/>
        <v>4388.4536074476355</v>
      </c>
    </row>
    <row r="21" spans="2:8" x14ac:dyDescent="0.25">
      <c r="B21" s="41">
        <v>18</v>
      </c>
      <c r="C21" s="72">
        <v>119.1</v>
      </c>
      <c r="D21" s="42" t="s">
        <v>248</v>
      </c>
      <c r="E21" s="41" t="s">
        <v>157</v>
      </c>
      <c r="F21" s="42">
        <v>17</v>
      </c>
      <c r="G21" s="50">
        <v>281.71814764841946</v>
      </c>
      <c r="H21" s="50">
        <f t="shared" si="0"/>
        <v>4789.2085100231307</v>
      </c>
    </row>
    <row r="22" spans="2:8" x14ac:dyDescent="0.25">
      <c r="B22" s="41">
        <v>19</v>
      </c>
      <c r="C22" s="41">
        <v>136.1</v>
      </c>
      <c r="D22" s="42" t="s">
        <v>249</v>
      </c>
      <c r="E22" s="41" t="s">
        <v>222</v>
      </c>
      <c r="F22" s="42">
        <v>40</v>
      </c>
      <c r="G22" s="50">
        <v>75.002923647812892</v>
      </c>
      <c r="H22" s="50">
        <f t="shared" si="0"/>
        <v>3000.1169459125158</v>
      </c>
    </row>
    <row r="23" spans="2:8" x14ac:dyDescent="0.25">
      <c r="B23" s="41">
        <v>20</v>
      </c>
      <c r="C23" s="41" t="s">
        <v>422</v>
      </c>
      <c r="D23" s="42" t="s">
        <v>423</v>
      </c>
      <c r="E23" s="41" t="s">
        <v>250</v>
      </c>
      <c r="F23" s="42">
        <v>6</v>
      </c>
      <c r="G23" s="50">
        <v>287.80400000000003</v>
      </c>
      <c r="H23" s="50">
        <f t="shared" si="0"/>
        <v>1726.8240000000001</v>
      </c>
    </row>
    <row r="24" spans="2:8" x14ac:dyDescent="0.25">
      <c r="B24" s="41">
        <v>21</v>
      </c>
      <c r="C24" s="41" t="s">
        <v>424</v>
      </c>
      <c r="D24" s="42" t="s">
        <v>251</v>
      </c>
      <c r="E24" s="41" t="s">
        <v>250</v>
      </c>
      <c r="F24" s="42">
        <v>6</v>
      </c>
      <c r="G24" s="50">
        <v>163.52499999999998</v>
      </c>
      <c r="H24" s="50">
        <f t="shared" si="0"/>
        <v>981.14999999999986</v>
      </c>
    </row>
    <row r="25" spans="2:8" ht="25.5" x14ac:dyDescent="0.25">
      <c r="B25" s="41">
        <v>22</v>
      </c>
      <c r="C25" s="41" t="s">
        <v>425</v>
      </c>
      <c r="D25" s="42" t="s">
        <v>252</v>
      </c>
      <c r="E25" s="41" t="s">
        <v>158</v>
      </c>
      <c r="F25" s="42">
        <v>3</v>
      </c>
      <c r="G25" s="50">
        <v>2114.0511999999999</v>
      </c>
      <c r="H25" s="50">
        <f t="shared" si="0"/>
        <v>6342.1535999999996</v>
      </c>
    </row>
    <row r="26" spans="2:8" ht="25.5" x14ac:dyDescent="0.25">
      <c r="B26" s="41">
        <v>23</v>
      </c>
      <c r="C26" s="88" t="s">
        <v>426</v>
      </c>
      <c r="D26" s="82" t="s">
        <v>677</v>
      </c>
      <c r="E26" s="41" t="s">
        <v>158</v>
      </c>
      <c r="F26" s="42">
        <v>17</v>
      </c>
      <c r="G26" s="50">
        <v>1080</v>
      </c>
      <c r="H26" s="50">
        <f t="shared" si="0"/>
        <v>18360</v>
      </c>
    </row>
    <row r="27" spans="2:8" x14ac:dyDescent="0.25">
      <c r="B27" s="41">
        <v>24</v>
      </c>
      <c r="C27" s="41" t="s">
        <v>410</v>
      </c>
      <c r="D27" s="42" t="s">
        <v>428</v>
      </c>
      <c r="E27" s="41" t="s">
        <v>250</v>
      </c>
      <c r="F27" s="42">
        <v>17</v>
      </c>
      <c r="G27" s="50">
        <v>104.65600000000001</v>
      </c>
      <c r="H27" s="50">
        <f t="shared" si="0"/>
        <v>1779.152</v>
      </c>
    </row>
    <row r="28" spans="2:8" x14ac:dyDescent="0.25">
      <c r="B28" s="41">
        <v>25</v>
      </c>
      <c r="C28" s="72">
        <v>133.1</v>
      </c>
      <c r="D28" s="42" t="s">
        <v>253</v>
      </c>
      <c r="E28" s="41" t="s">
        <v>157</v>
      </c>
      <c r="F28" s="42">
        <v>17</v>
      </c>
      <c r="G28" s="50">
        <v>60.758062728582523</v>
      </c>
      <c r="H28" s="50">
        <f t="shared" si="0"/>
        <v>1032.8870663859029</v>
      </c>
    </row>
    <row r="29" spans="2:8" ht="15" customHeight="1" x14ac:dyDescent="0.25">
      <c r="B29" s="94" t="s">
        <v>74</v>
      </c>
      <c r="C29" s="450" t="s">
        <v>254</v>
      </c>
      <c r="D29" s="450"/>
      <c r="E29" s="450"/>
      <c r="F29" s="450"/>
      <c r="G29" s="450"/>
      <c r="H29" s="127">
        <f>SUM(H4:H28)</f>
        <v>412184.5802744347</v>
      </c>
    </row>
    <row r="30" spans="2:8" x14ac:dyDescent="0.25">
      <c r="B30" s="41" t="s">
        <v>75</v>
      </c>
      <c r="C30" s="446" t="s">
        <v>255</v>
      </c>
      <c r="D30" s="446"/>
      <c r="E30" s="446"/>
      <c r="F30" s="52" t="s">
        <v>227</v>
      </c>
      <c r="G30" s="53">
        <v>0.03</v>
      </c>
      <c r="H30" s="50">
        <f t="shared" ref="H30:H35" si="1">G30*$H$29</f>
        <v>12365.53740823304</v>
      </c>
    </row>
    <row r="31" spans="2:8" x14ac:dyDescent="0.25">
      <c r="B31" s="41" t="s">
        <v>76</v>
      </c>
      <c r="C31" s="446" t="s">
        <v>256</v>
      </c>
      <c r="D31" s="446"/>
      <c r="E31" s="446"/>
      <c r="F31" s="52" t="s">
        <v>227</v>
      </c>
      <c r="G31" s="53">
        <v>0.03</v>
      </c>
      <c r="H31" s="50">
        <f t="shared" si="1"/>
        <v>12365.53740823304</v>
      </c>
    </row>
    <row r="32" spans="2:8" x14ac:dyDescent="0.25">
      <c r="B32" s="41" t="s">
        <v>77</v>
      </c>
      <c r="C32" s="446" t="s">
        <v>257</v>
      </c>
      <c r="D32" s="446"/>
      <c r="E32" s="446"/>
      <c r="F32" s="52" t="s">
        <v>227</v>
      </c>
      <c r="G32" s="53">
        <v>0.03</v>
      </c>
      <c r="H32" s="50">
        <f t="shared" si="1"/>
        <v>12365.53740823304</v>
      </c>
    </row>
    <row r="33" spans="2:8" x14ac:dyDescent="0.25">
      <c r="B33" s="41" t="s">
        <v>78</v>
      </c>
      <c r="C33" s="446" t="s">
        <v>258</v>
      </c>
      <c r="D33" s="446"/>
      <c r="E33" s="446"/>
      <c r="F33" s="52" t="s">
        <v>227</v>
      </c>
      <c r="G33" s="53">
        <v>0.04</v>
      </c>
      <c r="H33" s="50">
        <f t="shared" si="1"/>
        <v>16487.383210977387</v>
      </c>
    </row>
    <row r="34" spans="2:8" x14ac:dyDescent="0.25">
      <c r="B34" s="41" t="s">
        <v>213</v>
      </c>
      <c r="C34" s="446" t="s">
        <v>259</v>
      </c>
      <c r="D34" s="446"/>
      <c r="E34" s="446"/>
      <c r="F34" s="52" t="s">
        <v>227</v>
      </c>
      <c r="G34" s="53">
        <v>0.02</v>
      </c>
      <c r="H34" s="50">
        <f t="shared" si="1"/>
        <v>8243.6916054886933</v>
      </c>
    </row>
    <row r="35" spans="2:8" x14ac:dyDescent="0.25">
      <c r="B35" s="41" t="s">
        <v>92</v>
      </c>
      <c r="C35" s="446" t="s">
        <v>260</v>
      </c>
      <c r="D35" s="446"/>
      <c r="E35" s="446"/>
      <c r="F35" s="52" t="s">
        <v>227</v>
      </c>
      <c r="G35" s="53">
        <v>0.1</v>
      </c>
      <c r="H35" s="50">
        <f t="shared" si="1"/>
        <v>41218.45802744347</v>
      </c>
    </row>
    <row r="36" spans="2:8" x14ac:dyDescent="0.25">
      <c r="B36" s="352" t="s">
        <v>93</v>
      </c>
      <c r="C36" s="451" t="s">
        <v>261</v>
      </c>
      <c r="D36" s="452"/>
      <c r="E36" s="453"/>
      <c r="F36" s="457" t="s">
        <v>144</v>
      </c>
      <c r="G36" s="458"/>
      <c r="H36" s="50">
        <f>'11 KV line labour'!K73</f>
        <v>183994.96337975835</v>
      </c>
    </row>
    <row r="37" spans="2:8" x14ac:dyDescent="0.25">
      <c r="B37" s="353"/>
      <c r="C37" s="454"/>
      <c r="D37" s="455"/>
      <c r="E37" s="456"/>
      <c r="F37" s="457" t="s">
        <v>145</v>
      </c>
      <c r="G37" s="458"/>
      <c r="H37" s="50">
        <f>'11 KV line labour'!L73</f>
        <v>187561.5937938499</v>
      </c>
    </row>
    <row r="38" spans="2:8" x14ac:dyDescent="0.25">
      <c r="B38" s="331" t="s">
        <v>94</v>
      </c>
      <c r="C38" s="355" t="s">
        <v>262</v>
      </c>
      <c r="D38" s="355"/>
      <c r="E38" s="355"/>
      <c r="F38" s="446" t="s">
        <v>144</v>
      </c>
      <c r="G38" s="446"/>
      <c r="H38" s="128">
        <f>SUM(H29:H36)</f>
        <v>699225.68872280163</v>
      </c>
    </row>
    <row r="39" spans="2:8" x14ac:dyDescent="0.25">
      <c r="B39" s="331"/>
      <c r="C39" s="355"/>
      <c r="D39" s="355"/>
      <c r="E39" s="355"/>
      <c r="F39" s="446" t="s">
        <v>145</v>
      </c>
      <c r="G39" s="446"/>
      <c r="H39" s="128">
        <f>SUM(H29:H35,H37)</f>
        <v>702792.31913689326</v>
      </c>
    </row>
  </sheetData>
  <mergeCells count="16">
    <mergeCell ref="B36:B37"/>
    <mergeCell ref="C36:E37"/>
    <mergeCell ref="F36:G36"/>
    <mergeCell ref="F37:G37"/>
    <mergeCell ref="B38:B39"/>
    <mergeCell ref="C38:E39"/>
    <mergeCell ref="F38:G38"/>
    <mergeCell ref="F39:G39"/>
    <mergeCell ref="D2:H2"/>
    <mergeCell ref="C34:E34"/>
    <mergeCell ref="C35:E35"/>
    <mergeCell ref="C29:G29"/>
    <mergeCell ref="C30:E30"/>
    <mergeCell ref="C31:E31"/>
    <mergeCell ref="C32:E32"/>
    <mergeCell ref="C33:E33"/>
  </mergeCells>
  <pageMargins left="0.7" right="0.7" top="0.75" bottom="0.75" header="0.3" footer="0.3"/>
  <pageSetup paperSize="9" scale="92"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9"/>
  <sheetViews>
    <sheetView zoomScaleNormal="100" workbookViewId="0"/>
  </sheetViews>
  <sheetFormatPr defaultRowHeight="15" x14ac:dyDescent="0.25"/>
  <cols>
    <col min="1" max="1" width="9.140625" style="46"/>
    <col min="2" max="2" width="5" style="46" bestFit="1" customWidth="1"/>
    <col min="3" max="3" width="6" style="54" customWidth="1"/>
    <col min="4" max="4" width="49.140625" style="46" customWidth="1"/>
    <col min="5" max="5" width="5.85546875" style="55" customWidth="1"/>
    <col min="6" max="6" width="5.5703125" style="46" customWidth="1"/>
    <col min="7" max="7" width="10.7109375" style="46" bestFit="1" customWidth="1"/>
    <col min="8" max="8" width="10" style="46" customWidth="1"/>
    <col min="9" max="9" width="9.140625" style="46"/>
    <col min="10" max="10" width="9.5703125" style="46" customWidth="1"/>
    <col min="11" max="16384" width="9.140625" style="46"/>
  </cols>
  <sheetData>
    <row r="2" spans="2:8" ht="49.5" customHeight="1" x14ac:dyDescent="0.25">
      <c r="C2" s="95"/>
      <c r="D2" s="447" t="s">
        <v>538</v>
      </c>
      <c r="E2" s="448"/>
      <c r="F2" s="448"/>
      <c r="G2" s="448"/>
      <c r="H2" s="449"/>
    </row>
    <row r="3" spans="2:8" ht="24.75" customHeight="1" x14ac:dyDescent="0.25">
      <c r="B3" s="79" t="s">
        <v>114</v>
      </c>
      <c r="C3" s="79" t="s">
        <v>229</v>
      </c>
      <c r="D3" s="79" t="s">
        <v>230</v>
      </c>
      <c r="E3" s="79" t="s">
        <v>0</v>
      </c>
      <c r="F3" s="79" t="s">
        <v>107</v>
      </c>
      <c r="G3" s="79" t="s">
        <v>231</v>
      </c>
      <c r="H3" s="79" t="s">
        <v>232</v>
      </c>
    </row>
    <row r="4" spans="2:8" x14ac:dyDescent="0.25">
      <c r="B4" s="34">
        <v>1</v>
      </c>
      <c r="C4" s="72">
        <v>164.1</v>
      </c>
      <c r="D4" s="152" t="s">
        <v>308</v>
      </c>
      <c r="E4" s="41" t="s">
        <v>157</v>
      </c>
      <c r="F4" s="42">
        <v>20</v>
      </c>
      <c r="G4" s="50">
        <v>4754.7768663261377</v>
      </c>
      <c r="H4" s="50">
        <f t="shared" ref="H4:H28" si="0">F4*G4</f>
        <v>95095.537326522754</v>
      </c>
    </row>
    <row r="5" spans="2:8" x14ac:dyDescent="0.25">
      <c r="B5" s="34">
        <v>2</v>
      </c>
      <c r="C5" s="72">
        <v>23.1</v>
      </c>
      <c r="D5" s="42" t="s">
        <v>263</v>
      </c>
      <c r="E5" s="41" t="s">
        <v>234</v>
      </c>
      <c r="F5" s="49">
        <v>3.177</v>
      </c>
      <c r="G5" s="50">
        <v>38308.971184750095</v>
      </c>
      <c r="H5" s="50">
        <f t="shared" si="0"/>
        <v>121707.60145395105</v>
      </c>
    </row>
    <row r="6" spans="2:8" x14ac:dyDescent="0.25">
      <c r="B6" s="34">
        <v>3</v>
      </c>
      <c r="C6" s="41" t="s">
        <v>412</v>
      </c>
      <c r="D6" s="85" t="s">
        <v>413</v>
      </c>
      <c r="E6" s="41" t="s">
        <v>157</v>
      </c>
      <c r="F6" s="42">
        <v>14</v>
      </c>
      <c r="G6" s="50">
        <v>137.36099999999999</v>
      </c>
      <c r="H6" s="50">
        <f t="shared" si="0"/>
        <v>1923.0539999999999</v>
      </c>
    </row>
    <row r="7" spans="2:8" x14ac:dyDescent="0.25">
      <c r="B7" s="34">
        <v>4</v>
      </c>
      <c r="C7" s="41" t="s">
        <v>414</v>
      </c>
      <c r="D7" s="42" t="s">
        <v>235</v>
      </c>
      <c r="E7" s="41" t="s">
        <v>157</v>
      </c>
      <c r="F7" s="42">
        <v>14</v>
      </c>
      <c r="G7" s="50">
        <v>127.53</v>
      </c>
      <c r="H7" s="50">
        <f t="shared" si="0"/>
        <v>1785.42</v>
      </c>
    </row>
    <row r="8" spans="2:8" x14ac:dyDescent="0.25">
      <c r="B8" s="34">
        <v>5</v>
      </c>
      <c r="C8" s="41" t="s">
        <v>684</v>
      </c>
      <c r="D8" s="42" t="s">
        <v>236</v>
      </c>
      <c r="E8" s="41" t="s">
        <v>157</v>
      </c>
      <c r="F8" s="42">
        <v>14</v>
      </c>
      <c r="G8" s="50">
        <v>714.93129999999996</v>
      </c>
      <c r="H8" s="50">
        <f t="shared" si="0"/>
        <v>10009.038199999999</v>
      </c>
    </row>
    <row r="9" spans="2:8" x14ac:dyDescent="0.25">
      <c r="B9" s="34">
        <v>6</v>
      </c>
      <c r="C9" s="41" t="s">
        <v>414</v>
      </c>
      <c r="D9" s="42" t="s">
        <v>237</v>
      </c>
      <c r="E9" s="41" t="s">
        <v>157</v>
      </c>
      <c r="F9" s="42">
        <v>14</v>
      </c>
      <c r="G9" s="50">
        <v>127.53</v>
      </c>
      <c r="H9" s="50">
        <f t="shared" si="0"/>
        <v>1785.42</v>
      </c>
    </row>
    <row r="10" spans="2:8" x14ac:dyDescent="0.25">
      <c r="B10" s="34">
        <v>7</v>
      </c>
      <c r="C10" s="41" t="s">
        <v>415</v>
      </c>
      <c r="D10" s="42" t="s">
        <v>238</v>
      </c>
      <c r="E10" s="41" t="s">
        <v>239</v>
      </c>
      <c r="F10" s="42">
        <v>14</v>
      </c>
      <c r="G10" s="50">
        <v>127.53</v>
      </c>
      <c r="H10" s="50">
        <f t="shared" si="0"/>
        <v>1785.42</v>
      </c>
    </row>
    <row r="11" spans="2:8" ht="25.5" x14ac:dyDescent="0.25">
      <c r="B11" s="34">
        <v>8</v>
      </c>
      <c r="C11" s="41">
        <v>101.1</v>
      </c>
      <c r="D11" s="42" t="s">
        <v>429</v>
      </c>
      <c r="E11" s="41" t="s">
        <v>157</v>
      </c>
      <c r="F11" s="42">
        <v>60</v>
      </c>
      <c r="G11" s="50">
        <v>154.69497662030849</v>
      </c>
      <c r="H11" s="50">
        <f t="shared" si="0"/>
        <v>9281.6985972185103</v>
      </c>
    </row>
    <row r="12" spans="2:8" x14ac:dyDescent="0.25">
      <c r="B12" s="34">
        <v>9</v>
      </c>
      <c r="C12" s="41">
        <v>102.1</v>
      </c>
      <c r="D12" s="42" t="s">
        <v>430</v>
      </c>
      <c r="E12" s="41" t="s">
        <v>157</v>
      </c>
      <c r="F12" s="42">
        <v>12</v>
      </c>
      <c r="G12" s="50">
        <v>229.02385941322578</v>
      </c>
      <c r="H12" s="50">
        <f t="shared" si="0"/>
        <v>2748.2863129587095</v>
      </c>
    </row>
    <row r="13" spans="2:8" x14ac:dyDescent="0.25">
      <c r="B13" s="34">
        <v>10</v>
      </c>
      <c r="C13" s="41" t="s">
        <v>418</v>
      </c>
      <c r="D13" s="42" t="s">
        <v>240</v>
      </c>
      <c r="E13" s="41" t="s">
        <v>158</v>
      </c>
      <c r="F13" s="42">
        <v>1</v>
      </c>
      <c r="G13" s="50">
        <v>16932.803802509399</v>
      </c>
      <c r="H13" s="50">
        <f t="shared" si="0"/>
        <v>16932.803802509399</v>
      </c>
    </row>
    <row r="14" spans="2:8" x14ac:dyDescent="0.25">
      <c r="B14" s="34">
        <v>11</v>
      </c>
      <c r="C14" s="41">
        <v>104.1</v>
      </c>
      <c r="D14" s="42" t="s">
        <v>241</v>
      </c>
      <c r="E14" s="41" t="s">
        <v>158</v>
      </c>
      <c r="F14" s="42">
        <v>1</v>
      </c>
      <c r="G14" s="50">
        <v>2003.6613836898032</v>
      </c>
      <c r="H14" s="50">
        <f t="shared" si="0"/>
        <v>2003.6613836898032</v>
      </c>
    </row>
    <row r="15" spans="2:8" ht="25.5" x14ac:dyDescent="0.25">
      <c r="B15" s="34">
        <v>12</v>
      </c>
      <c r="C15" s="41">
        <v>170.1</v>
      </c>
      <c r="D15" s="42" t="s">
        <v>419</v>
      </c>
      <c r="E15" s="41" t="s">
        <v>158</v>
      </c>
      <c r="F15" s="42">
        <v>8</v>
      </c>
      <c r="G15" s="50">
        <v>651.3770641693452</v>
      </c>
      <c r="H15" s="50">
        <f t="shared" si="0"/>
        <v>5211.0165133547616</v>
      </c>
    </row>
    <row r="16" spans="2:8" x14ac:dyDescent="0.25">
      <c r="B16" s="34">
        <v>13</v>
      </c>
      <c r="C16" s="41" t="s">
        <v>420</v>
      </c>
      <c r="D16" s="42" t="s">
        <v>421</v>
      </c>
      <c r="E16" s="41" t="s">
        <v>158</v>
      </c>
      <c r="F16" s="42">
        <v>8</v>
      </c>
      <c r="G16" s="50">
        <v>127.54949999999999</v>
      </c>
      <c r="H16" s="50">
        <f t="shared" si="0"/>
        <v>1020.396</v>
      </c>
    </row>
    <row r="17" spans="2:8" x14ac:dyDescent="0.25">
      <c r="B17" s="34">
        <v>14</v>
      </c>
      <c r="C17" s="72">
        <v>123.1</v>
      </c>
      <c r="D17" s="42" t="s">
        <v>431</v>
      </c>
      <c r="E17" s="41" t="s">
        <v>157</v>
      </c>
      <c r="F17" s="42">
        <v>9</v>
      </c>
      <c r="G17" s="50">
        <v>39.239582178876212</v>
      </c>
      <c r="H17" s="50">
        <f t="shared" si="0"/>
        <v>353.15623960988592</v>
      </c>
    </row>
    <row r="18" spans="2:8" x14ac:dyDescent="0.25">
      <c r="B18" s="34">
        <v>15</v>
      </c>
      <c r="C18" s="72">
        <v>17.100000000000001</v>
      </c>
      <c r="D18" s="42" t="s">
        <v>244</v>
      </c>
      <c r="E18" s="41" t="s">
        <v>222</v>
      </c>
      <c r="F18" s="42">
        <v>5</v>
      </c>
      <c r="G18" s="50">
        <v>258.22244052676297</v>
      </c>
      <c r="H18" s="50">
        <f t="shared" si="0"/>
        <v>1291.1122026338148</v>
      </c>
    </row>
    <row r="19" spans="2:8" x14ac:dyDescent="0.25">
      <c r="B19" s="34">
        <v>16</v>
      </c>
      <c r="C19" s="72">
        <v>18.100000000000001</v>
      </c>
      <c r="D19" s="42" t="s">
        <v>245</v>
      </c>
      <c r="E19" s="41" t="s">
        <v>222</v>
      </c>
      <c r="F19" s="42">
        <v>85</v>
      </c>
      <c r="G19" s="50">
        <v>72.887734862758151</v>
      </c>
      <c r="H19" s="50">
        <f t="shared" si="0"/>
        <v>6195.4574633344428</v>
      </c>
    </row>
    <row r="20" spans="2:8" x14ac:dyDescent="0.25">
      <c r="B20" s="34">
        <v>17</v>
      </c>
      <c r="C20" s="41">
        <v>19.100000000000001</v>
      </c>
      <c r="D20" s="42" t="s">
        <v>246</v>
      </c>
      <c r="E20" s="41" t="s">
        <v>222</v>
      </c>
      <c r="F20" s="42">
        <v>60</v>
      </c>
      <c r="G20" s="50">
        <v>73.140893457460592</v>
      </c>
      <c r="H20" s="50">
        <f t="shared" si="0"/>
        <v>4388.4536074476355</v>
      </c>
    </row>
    <row r="21" spans="2:8" x14ac:dyDescent="0.25">
      <c r="B21" s="34">
        <v>18</v>
      </c>
      <c r="C21" s="72">
        <v>119.1</v>
      </c>
      <c r="D21" s="42" t="s">
        <v>248</v>
      </c>
      <c r="E21" s="41" t="s">
        <v>157</v>
      </c>
      <c r="F21" s="42">
        <v>17</v>
      </c>
      <c r="G21" s="50">
        <v>281.71814764841946</v>
      </c>
      <c r="H21" s="50">
        <f t="shared" si="0"/>
        <v>4789.2085100231307</v>
      </c>
    </row>
    <row r="22" spans="2:8" x14ac:dyDescent="0.25">
      <c r="B22" s="34">
        <v>19</v>
      </c>
      <c r="C22" s="41">
        <v>136.1</v>
      </c>
      <c r="D22" s="42" t="s">
        <v>249</v>
      </c>
      <c r="E22" s="41" t="s">
        <v>222</v>
      </c>
      <c r="F22" s="42">
        <v>40</v>
      </c>
      <c r="G22" s="50">
        <v>75.002923647812892</v>
      </c>
      <c r="H22" s="50">
        <f t="shared" si="0"/>
        <v>3000.1169459125158</v>
      </c>
    </row>
    <row r="23" spans="2:8" x14ac:dyDescent="0.25">
      <c r="B23" s="34">
        <v>20</v>
      </c>
      <c r="C23" s="41" t="s">
        <v>422</v>
      </c>
      <c r="D23" s="42" t="s">
        <v>423</v>
      </c>
      <c r="E23" s="41" t="s">
        <v>250</v>
      </c>
      <c r="F23" s="42">
        <v>6</v>
      </c>
      <c r="G23" s="50">
        <v>287.80400000000003</v>
      </c>
      <c r="H23" s="50">
        <f t="shared" si="0"/>
        <v>1726.8240000000001</v>
      </c>
    </row>
    <row r="24" spans="2:8" x14ac:dyDescent="0.25">
      <c r="B24" s="34">
        <v>21</v>
      </c>
      <c r="C24" s="41" t="s">
        <v>424</v>
      </c>
      <c r="D24" s="42" t="s">
        <v>251</v>
      </c>
      <c r="E24" s="41" t="s">
        <v>250</v>
      </c>
      <c r="F24" s="42">
        <v>6</v>
      </c>
      <c r="G24" s="50">
        <v>163.52499999999998</v>
      </c>
      <c r="H24" s="50">
        <f t="shared" si="0"/>
        <v>981.14999999999986</v>
      </c>
    </row>
    <row r="25" spans="2:8" ht="25.5" x14ac:dyDescent="0.25">
      <c r="B25" s="34">
        <v>22</v>
      </c>
      <c r="C25" s="41" t="s">
        <v>425</v>
      </c>
      <c r="D25" s="42" t="s">
        <v>252</v>
      </c>
      <c r="E25" s="41" t="s">
        <v>158</v>
      </c>
      <c r="F25" s="42">
        <v>3</v>
      </c>
      <c r="G25" s="50">
        <v>2114.0511999999999</v>
      </c>
      <c r="H25" s="50">
        <f t="shared" si="0"/>
        <v>6342.1535999999996</v>
      </c>
    </row>
    <row r="26" spans="2:8" ht="25.5" x14ac:dyDescent="0.25">
      <c r="B26" s="34">
        <v>23</v>
      </c>
      <c r="C26" s="88" t="s">
        <v>426</v>
      </c>
      <c r="D26" s="82" t="s">
        <v>677</v>
      </c>
      <c r="E26" s="41" t="s">
        <v>158</v>
      </c>
      <c r="F26" s="42">
        <v>17</v>
      </c>
      <c r="G26" s="50">
        <v>1080</v>
      </c>
      <c r="H26" s="50">
        <f t="shared" si="0"/>
        <v>18360</v>
      </c>
    </row>
    <row r="27" spans="2:8" x14ac:dyDescent="0.25">
      <c r="B27" s="34">
        <v>24</v>
      </c>
      <c r="C27" s="41" t="s">
        <v>410</v>
      </c>
      <c r="D27" s="42" t="s">
        <v>428</v>
      </c>
      <c r="E27" s="41" t="s">
        <v>250</v>
      </c>
      <c r="F27" s="42">
        <v>17</v>
      </c>
      <c r="G27" s="50">
        <v>104.65600000000001</v>
      </c>
      <c r="H27" s="50">
        <f t="shared" si="0"/>
        <v>1779.152</v>
      </c>
    </row>
    <row r="28" spans="2:8" x14ac:dyDescent="0.25">
      <c r="B28" s="34">
        <v>25</v>
      </c>
      <c r="C28" s="72">
        <v>133.1</v>
      </c>
      <c r="D28" s="42" t="s">
        <v>253</v>
      </c>
      <c r="E28" s="41" t="s">
        <v>157</v>
      </c>
      <c r="F28" s="42">
        <v>17</v>
      </c>
      <c r="G28" s="50">
        <v>60.758062728582523</v>
      </c>
      <c r="H28" s="50">
        <f t="shared" si="0"/>
        <v>1032.8870663859029</v>
      </c>
    </row>
    <row r="29" spans="2:8" ht="15" customHeight="1" x14ac:dyDescent="0.25">
      <c r="B29" s="94" t="s">
        <v>74</v>
      </c>
      <c r="C29" s="450" t="s">
        <v>254</v>
      </c>
      <c r="D29" s="450"/>
      <c r="E29" s="450"/>
      <c r="F29" s="450"/>
      <c r="G29" s="450"/>
      <c r="H29" s="127">
        <f>SUM(H4:H28)</f>
        <v>321529.02522555244</v>
      </c>
    </row>
    <row r="30" spans="2:8" x14ac:dyDescent="0.25">
      <c r="B30" s="41" t="s">
        <v>75</v>
      </c>
      <c r="C30" s="446" t="s">
        <v>255</v>
      </c>
      <c r="D30" s="446"/>
      <c r="E30" s="446"/>
      <c r="F30" s="52" t="s">
        <v>227</v>
      </c>
      <c r="G30" s="53">
        <v>0.03</v>
      </c>
      <c r="H30" s="50">
        <f t="shared" ref="H30:H35" si="1">G30*$H$29</f>
        <v>9645.8707567665733</v>
      </c>
    </row>
    <row r="31" spans="2:8" x14ac:dyDescent="0.25">
      <c r="B31" s="41" t="s">
        <v>76</v>
      </c>
      <c r="C31" s="446" t="s">
        <v>256</v>
      </c>
      <c r="D31" s="446"/>
      <c r="E31" s="446"/>
      <c r="F31" s="52" t="s">
        <v>227</v>
      </c>
      <c r="G31" s="53">
        <v>0.03</v>
      </c>
      <c r="H31" s="50">
        <f t="shared" si="1"/>
        <v>9645.8707567665733</v>
      </c>
    </row>
    <row r="32" spans="2:8" x14ac:dyDescent="0.25">
      <c r="B32" s="41" t="s">
        <v>77</v>
      </c>
      <c r="C32" s="446" t="s">
        <v>257</v>
      </c>
      <c r="D32" s="446"/>
      <c r="E32" s="446"/>
      <c r="F32" s="52" t="s">
        <v>227</v>
      </c>
      <c r="G32" s="53">
        <v>0.03</v>
      </c>
      <c r="H32" s="50">
        <f t="shared" si="1"/>
        <v>9645.8707567665733</v>
      </c>
    </row>
    <row r="33" spans="2:8" x14ac:dyDescent="0.25">
      <c r="B33" s="41" t="s">
        <v>78</v>
      </c>
      <c r="C33" s="446" t="s">
        <v>258</v>
      </c>
      <c r="D33" s="446"/>
      <c r="E33" s="446"/>
      <c r="F33" s="52" t="s">
        <v>227</v>
      </c>
      <c r="G33" s="53">
        <v>0.04</v>
      </c>
      <c r="H33" s="50">
        <f t="shared" si="1"/>
        <v>12861.161009022098</v>
      </c>
    </row>
    <row r="34" spans="2:8" x14ac:dyDescent="0.25">
      <c r="B34" s="41" t="s">
        <v>213</v>
      </c>
      <c r="C34" s="446" t="s">
        <v>259</v>
      </c>
      <c r="D34" s="446"/>
      <c r="E34" s="446"/>
      <c r="F34" s="52" t="s">
        <v>227</v>
      </c>
      <c r="G34" s="53">
        <v>0.02</v>
      </c>
      <c r="H34" s="50">
        <f t="shared" si="1"/>
        <v>6430.5805045110492</v>
      </c>
    </row>
    <row r="35" spans="2:8" x14ac:dyDescent="0.25">
      <c r="B35" s="41" t="s">
        <v>92</v>
      </c>
      <c r="C35" s="446" t="s">
        <v>260</v>
      </c>
      <c r="D35" s="446"/>
      <c r="E35" s="446"/>
      <c r="F35" s="52" t="s">
        <v>227</v>
      </c>
      <c r="G35" s="53">
        <v>0.1</v>
      </c>
      <c r="H35" s="50">
        <f t="shared" si="1"/>
        <v>32152.902522555247</v>
      </c>
    </row>
    <row r="36" spans="2:8" x14ac:dyDescent="0.25">
      <c r="B36" s="352" t="s">
        <v>93</v>
      </c>
      <c r="C36" s="451" t="s">
        <v>261</v>
      </c>
      <c r="D36" s="452"/>
      <c r="E36" s="453"/>
      <c r="F36" s="457" t="s">
        <v>144</v>
      </c>
      <c r="G36" s="458"/>
      <c r="H36" s="237">
        <f>'11 KV line labour'!N73</f>
        <v>178130.591852182</v>
      </c>
    </row>
    <row r="37" spans="2:8" x14ac:dyDescent="0.25">
      <c r="B37" s="353"/>
      <c r="C37" s="454"/>
      <c r="D37" s="455"/>
      <c r="E37" s="456"/>
      <c r="F37" s="457" t="s">
        <v>145</v>
      </c>
      <c r="G37" s="458"/>
      <c r="H37" s="237">
        <f>'11 KV line labour'!O73</f>
        <v>181697.22226627354</v>
      </c>
    </row>
    <row r="38" spans="2:8" x14ac:dyDescent="0.25">
      <c r="B38" s="331" t="s">
        <v>94</v>
      </c>
      <c r="C38" s="355" t="s">
        <v>262</v>
      </c>
      <c r="D38" s="355"/>
      <c r="E38" s="355"/>
      <c r="F38" s="446" t="s">
        <v>144</v>
      </c>
      <c r="G38" s="446"/>
      <c r="H38" s="238">
        <f>SUM(H29:H36)</f>
        <v>580041.87338412262</v>
      </c>
    </row>
    <row r="39" spans="2:8" x14ac:dyDescent="0.25">
      <c r="B39" s="331"/>
      <c r="C39" s="355"/>
      <c r="D39" s="355"/>
      <c r="E39" s="355"/>
      <c r="F39" s="446" t="s">
        <v>145</v>
      </c>
      <c r="G39" s="446"/>
      <c r="H39" s="238">
        <f>SUM(H29:H35,H37)</f>
        <v>583608.50379821414</v>
      </c>
    </row>
  </sheetData>
  <mergeCells count="16">
    <mergeCell ref="B36:B37"/>
    <mergeCell ref="C36:E37"/>
    <mergeCell ref="F36:G36"/>
    <mergeCell ref="F37:G37"/>
    <mergeCell ref="B38:B39"/>
    <mergeCell ref="C38:E39"/>
    <mergeCell ref="F38:G38"/>
    <mergeCell ref="F39:G39"/>
    <mergeCell ref="D2:H2"/>
    <mergeCell ref="C34:E34"/>
    <mergeCell ref="C35:E35"/>
    <mergeCell ref="C29:G29"/>
    <mergeCell ref="C30:E30"/>
    <mergeCell ref="C31:E31"/>
    <mergeCell ref="C32:E32"/>
    <mergeCell ref="C33:E33"/>
  </mergeCells>
  <printOptions horizontalCentered="1"/>
  <pageMargins left="0.7" right="0.7" top="0.75" bottom="0.75" header="0.3" footer="0.3"/>
  <pageSetup scale="87" orientation="portrait" r:id="rId1"/>
  <colBreaks count="1" manualBreakCount="1">
    <brk id="8"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9"/>
  <sheetViews>
    <sheetView zoomScaleNormal="100" workbookViewId="0"/>
  </sheetViews>
  <sheetFormatPr defaultRowHeight="15" x14ac:dyDescent="0.25"/>
  <cols>
    <col min="1" max="1" width="9.140625" style="46"/>
    <col min="2" max="2" width="5" style="46" bestFit="1" customWidth="1"/>
    <col min="3" max="3" width="6.28515625" style="54" customWidth="1"/>
    <col min="4" max="4" width="49.140625" style="46" customWidth="1"/>
    <col min="5" max="5" width="5.85546875" style="55" customWidth="1"/>
    <col min="6" max="6" width="5.5703125" style="46" customWidth="1"/>
    <col min="7" max="7" width="10.7109375" style="46" bestFit="1" customWidth="1"/>
    <col min="8" max="8" width="10" style="46" customWidth="1"/>
    <col min="9" max="9" width="9.140625" style="46"/>
    <col min="10" max="10" width="9.5703125" style="46" customWidth="1"/>
    <col min="11" max="16384" width="9.140625" style="46"/>
  </cols>
  <sheetData>
    <row r="2" spans="2:8" ht="51" customHeight="1" x14ac:dyDescent="0.25">
      <c r="C2" s="95"/>
      <c r="D2" s="447" t="s">
        <v>539</v>
      </c>
      <c r="E2" s="448"/>
      <c r="F2" s="448"/>
      <c r="G2" s="448"/>
      <c r="H2" s="449"/>
    </row>
    <row r="3" spans="2:8" ht="24.75" customHeight="1" x14ac:dyDescent="0.25">
      <c r="B3" s="79" t="s">
        <v>114</v>
      </c>
      <c r="C3" s="79" t="s">
        <v>229</v>
      </c>
      <c r="D3" s="79" t="s">
        <v>230</v>
      </c>
      <c r="E3" s="79" t="s">
        <v>0</v>
      </c>
      <c r="F3" s="79" t="s">
        <v>107</v>
      </c>
      <c r="G3" s="79" t="s">
        <v>231</v>
      </c>
      <c r="H3" s="79" t="s">
        <v>232</v>
      </c>
    </row>
    <row r="4" spans="2:8" x14ac:dyDescent="0.25">
      <c r="B4" s="41">
        <v>1</v>
      </c>
      <c r="C4" s="72">
        <v>164.1</v>
      </c>
      <c r="D4" s="152" t="s">
        <v>308</v>
      </c>
      <c r="E4" s="41" t="s">
        <v>157</v>
      </c>
      <c r="F4" s="42">
        <v>20</v>
      </c>
      <c r="G4" s="50">
        <v>4754.7768663261377</v>
      </c>
      <c r="H4" s="50">
        <f t="shared" ref="H4:H28" si="0">F4*G4</f>
        <v>95095.537326522754</v>
      </c>
    </row>
    <row r="5" spans="2:8" x14ac:dyDescent="0.25">
      <c r="B5" s="41">
        <v>2</v>
      </c>
      <c r="C5" s="72">
        <v>24.1</v>
      </c>
      <c r="D5" s="42" t="s">
        <v>264</v>
      </c>
      <c r="E5" s="41" t="s">
        <v>234</v>
      </c>
      <c r="F5" s="49">
        <v>3.177</v>
      </c>
      <c r="G5" s="50">
        <v>20151.424138313203</v>
      </c>
      <c r="H5" s="50">
        <f t="shared" si="0"/>
        <v>64021.07448742105</v>
      </c>
    </row>
    <row r="6" spans="2:8" x14ac:dyDescent="0.25">
      <c r="B6" s="41">
        <v>3</v>
      </c>
      <c r="C6" s="41" t="s">
        <v>412</v>
      </c>
      <c r="D6" s="85" t="s">
        <v>413</v>
      </c>
      <c r="E6" s="41" t="s">
        <v>157</v>
      </c>
      <c r="F6" s="42">
        <v>14</v>
      </c>
      <c r="G6" s="50">
        <v>137.36099999999999</v>
      </c>
      <c r="H6" s="50">
        <f t="shared" si="0"/>
        <v>1923.0539999999999</v>
      </c>
    </row>
    <row r="7" spans="2:8" x14ac:dyDescent="0.25">
      <c r="B7" s="41">
        <v>4</v>
      </c>
      <c r="C7" s="41" t="s">
        <v>414</v>
      </c>
      <c r="D7" s="42" t="s">
        <v>235</v>
      </c>
      <c r="E7" s="41" t="s">
        <v>157</v>
      </c>
      <c r="F7" s="42">
        <v>14</v>
      </c>
      <c r="G7" s="50">
        <v>127.53</v>
      </c>
      <c r="H7" s="50">
        <f t="shared" si="0"/>
        <v>1785.42</v>
      </c>
    </row>
    <row r="8" spans="2:8" x14ac:dyDescent="0.25">
      <c r="B8" s="41">
        <v>5</v>
      </c>
      <c r="C8" s="41" t="s">
        <v>684</v>
      </c>
      <c r="D8" s="42" t="s">
        <v>236</v>
      </c>
      <c r="E8" s="41" t="s">
        <v>157</v>
      </c>
      <c r="F8" s="42">
        <v>14</v>
      </c>
      <c r="G8" s="50">
        <v>714.93129999999996</v>
      </c>
      <c r="H8" s="50">
        <f t="shared" si="0"/>
        <v>10009.038199999999</v>
      </c>
    </row>
    <row r="9" spans="2:8" x14ac:dyDescent="0.25">
      <c r="B9" s="41">
        <v>6</v>
      </c>
      <c r="C9" s="41" t="s">
        <v>414</v>
      </c>
      <c r="D9" s="42" t="s">
        <v>237</v>
      </c>
      <c r="E9" s="41" t="s">
        <v>157</v>
      </c>
      <c r="F9" s="42">
        <v>14</v>
      </c>
      <c r="G9" s="50">
        <v>127.53</v>
      </c>
      <c r="H9" s="50">
        <f t="shared" si="0"/>
        <v>1785.42</v>
      </c>
    </row>
    <row r="10" spans="2:8" x14ac:dyDescent="0.25">
      <c r="B10" s="41">
        <v>7</v>
      </c>
      <c r="C10" s="41" t="s">
        <v>415</v>
      </c>
      <c r="D10" s="42" t="s">
        <v>238</v>
      </c>
      <c r="E10" s="41" t="s">
        <v>239</v>
      </c>
      <c r="F10" s="42">
        <v>14</v>
      </c>
      <c r="G10" s="50">
        <v>127.53</v>
      </c>
      <c r="H10" s="50">
        <f t="shared" si="0"/>
        <v>1785.42</v>
      </c>
    </row>
    <row r="11" spans="2:8" ht="25.5" x14ac:dyDescent="0.25">
      <c r="B11" s="41">
        <v>8</v>
      </c>
      <c r="C11" s="41">
        <v>101.1</v>
      </c>
      <c r="D11" s="42" t="s">
        <v>429</v>
      </c>
      <c r="E11" s="41" t="s">
        <v>157</v>
      </c>
      <c r="F11" s="42">
        <v>60</v>
      </c>
      <c r="G11" s="50">
        <v>154.69497662030849</v>
      </c>
      <c r="H11" s="50">
        <f t="shared" si="0"/>
        <v>9281.6985972185103</v>
      </c>
    </row>
    <row r="12" spans="2:8" x14ac:dyDescent="0.25">
      <c r="B12" s="41">
        <v>9</v>
      </c>
      <c r="C12" s="41">
        <v>102.1</v>
      </c>
      <c r="D12" s="42" t="s">
        <v>417</v>
      </c>
      <c r="E12" s="41" t="s">
        <v>157</v>
      </c>
      <c r="F12" s="42">
        <v>12</v>
      </c>
      <c r="G12" s="50">
        <v>229.02385941322578</v>
      </c>
      <c r="H12" s="50">
        <f t="shared" si="0"/>
        <v>2748.2863129587095</v>
      </c>
    </row>
    <row r="13" spans="2:8" x14ac:dyDescent="0.25">
      <c r="B13" s="41">
        <v>10</v>
      </c>
      <c r="C13" s="41" t="s">
        <v>418</v>
      </c>
      <c r="D13" s="42" t="s">
        <v>240</v>
      </c>
      <c r="E13" s="41" t="s">
        <v>158</v>
      </c>
      <c r="F13" s="42">
        <v>1</v>
      </c>
      <c r="G13" s="50">
        <v>16932.803802509399</v>
      </c>
      <c r="H13" s="50">
        <f t="shared" si="0"/>
        <v>16932.803802509399</v>
      </c>
    </row>
    <row r="14" spans="2:8" x14ac:dyDescent="0.25">
      <c r="B14" s="41">
        <v>11</v>
      </c>
      <c r="C14" s="41">
        <v>104.1</v>
      </c>
      <c r="D14" s="42" t="s">
        <v>241</v>
      </c>
      <c r="E14" s="41" t="s">
        <v>158</v>
      </c>
      <c r="F14" s="42">
        <v>1</v>
      </c>
      <c r="G14" s="50">
        <v>2003.6613836898032</v>
      </c>
      <c r="H14" s="50">
        <f t="shared" si="0"/>
        <v>2003.6613836898032</v>
      </c>
    </row>
    <row r="15" spans="2:8" ht="25.5" x14ac:dyDescent="0.25">
      <c r="B15" s="41">
        <v>12</v>
      </c>
      <c r="C15" s="41">
        <v>170.1</v>
      </c>
      <c r="D15" s="42" t="s">
        <v>419</v>
      </c>
      <c r="E15" s="41" t="s">
        <v>158</v>
      </c>
      <c r="F15" s="42">
        <v>8</v>
      </c>
      <c r="G15" s="50">
        <v>651.3770641693452</v>
      </c>
      <c r="H15" s="50">
        <f t="shared" si="0"/>
        <v>5211.0165133547616</v>
      </c>
    </row>
    <row r="16" spans="2:8" x14ac:dyDescent="0.25">
      <c r="B16" s="41">
        <v>13</v>
      </c>
      <c r="C16" s="41" t="s">
        <v>420</v>
      </c>
      <c r="D16" s="42" t="s">
        <v>421</v>
      </c>
      <c r="E16" s="41" t="s">
        <v>158</v>
      </c>
      <c r="F16" s="42">
        <v>8</v>
      </c>
      <c r="G16" s="50">
        <v>127.54949999999999</v>
      </c>
      <c r="H16" s="50">
        <f t="shared" si="0"/>
        <v>1020.396</v>
      </c>
    </row>
    <row r="17" spans="2:8" x14ac:dyDescent="0.25">
      <c r="B17" s="41">
        <v>14</v>
      </c>
      <c r="C17" s="41" t="s">
        <v>432</v>
      </c>
      <c r="D17" s="42" t="s">
        <v>243</v>
      </c>
      <c r="E17" s="41" t="s">
        <v>157</v>
      </c>
      <c r="F17" s="42">
        <v>9</v>
      </c>
      <c r="G17" s="50">
        <v>500</v>
      </c>
      <c r="H17" s="50">
        <f t="shared" si="0"/>
        <v>4500</v>
      </c>
    </row>
    <row r="18" spans="2:8" x14ac:dyDescent="0.25">
      <c r="B18" s="41">
        <v>15</v>
      </c>
      <c r="C18" s="72">
        <v>17.100000000000001</v>
      </c>
      <c r="D18" s="42" t="s">
        <v>244</v>
      </c>
      <c r="E18" s="41" t="s">
        <v>222</v>
      </c>
      <c r="F18" s="42">
        <v>5</v>
      </c>
      <c r="G18" s="50">
        <v>258.22244052676297</v>
      </c>
      <c r="H18" s="50">
        <f t="shared" si="0"/>
        <v>1291.1122026338148</v>
      </c>
    </row>
    <row r="19" spans="2:8" x14ac:dyDescent="0.25">
      <c r="B19" s="41">
        <v>16</v>
      </c>
      <c r="C19" s="72">
        <v>18.100000000000001</v>
      </c>
      <c r="D19" s="42" t="s">
        <v>245</v>
      </c>
      <c r="E19" s="41" t="s">
        <v>222</v>
      </c>
      <c r="F19" s="42">
        <v>85</v>
      </c>
      <c r="G19" s="50">
        <v>72.887734862758151</v>
      </c>
      <c r="H19" s="50">
        <f t="shared" si="0"/>
        <v>6195.4574633344428</v>
      </c>
    </row>
    <row r="20" spans="2:8" x14ac:dyDescent="0.25">
      <c r="B20" s="41">
        <v>17</v>
      </c>
      <c r="C20" s="41">
        <v>19.100000000000001</v>
      </c>
      <c r="D20" s="42" t="s">
        <v>246</v>
      </c>
      <c r="E20" s="41" t="s">
        <v>222</v>
      </c>
      <c r="F20" s="42">
        <v>60</v>
      </c>
      <c r="G20" s="50">
        <v>73.140893457460592</v>
      </c>
      <c r="H20" s="50">
        <f t="shared" si="0"/>
        <v>4388.4536074476355</v>
      </c>
    </row>
    <row r="21" spans="2:8" x14ac:dyDescent="0.25">
      <c r="B21" s="41">
        <v>18</v>
      </c>
      <c r="C21" s="72">
        <v>119.1</v>
      </c>
      <c r="D21" s="42" t="s">
        <v>248</v>
      </c>
      <c r="E21" s="41" t="s">
        <v>157</v>
      </c>
      <c r="F21" s="42">
        <v>17</v>
      </c>
      <c r="G21" s="50">
        <v>281.71814764841946</v>
      </c>
      <c r="H21" s="50">
        <f t="shared" si="0"/>
        <v>4789.2085100231307</v>
      </c>
    </row>
    <row r="22" spans="2:8" x14ac:dyDescent="0.25">
      <c r="B22" s="41">
        <v>19</v>
      </c>
      <c r="C22" s="41">
        <v>136.1</v>
      </c>
      <c r="D22" s="42" t="s">
        <v>249</v>
      </c>
      <c r="E22" s="41" t="s">
        <v>222</v>
      </c>
      <c r="F22" s="42">
        <v>40</v>
      </c>
      <c r="G22" s="50">
        <v>75.002923647812892</v>
      </c>
      <c r="H22" s="50">
        <f t="shared" si="0"/>
        <v>3000.1169459125158</v>
      </c>
    </row>
    <row r="23" spans="2:8" x14ac:dyDescent="0.25">
      <c r="B23" s="41">
        <v>20</v>
      </c>
      <c r="C23" s="41" t="s">
        <v>422</v>
      </c>
      <c r="D23" s="42" t="s">
        <v>423</v>
      </c>
      <c r="E23" s="41" t="s">
        <v>250</v>
      </c>
      <c r="F23" s="42">
        <v>6</v>
      </c>
      <c r="G23" s="50">
        <v>287.80400000000003</v>
      </c>
      <c r="H23" s="50">
        <f t="shared" si="0"/>
        <v>1726.8240000000001</v>
      </c>
    </row>
    <row r="24" spans="2:8" x14ac:dyDescent="0.25">
      <c r="B24" s="41">
        <v>21</v>
      </c>
      <c r="C24" s="41" t="s">
        <v>424</v>
      </c>
      <c r="D24" s="42" t="s">
        <v>251</v>
      </c>
      <c r="E24" s="41" t="s">
        <v>250</v>
      </c>
      <c r="F24" s="42">
        <v>6</v>
      </c>
      <c r="G24" s="50">
        <v>163.52499999999998</v>
      </c>
      <c r="H24" s="50">
        <f t="shared" si="0"/>
        <v>981.14999999999986</v>
      </c>
    </row>
    <row r="25" spans="2:8" ht="25.5" x14ac:dyDescent="0.25">
      <c r="B25" s="41">
        <v>22</v>
      </c>
      <c r="C25" s="41" t="s">
        <v>425</v>
      </c>
      <c r="D25" s="42" t="s">
        <v>252</v>
      </c>
      <c r="E25" s="41" t="s">
        <v>158</v>
      </c>
      <c r="F25" s="42">
        <v>3</v>
      </c>
      <c r="G25" s="50">
        <v>2114.0511999999999</v>
      </c>
      <c r="H25" s="50">
        <f t="shared" si="0"/>
        <v>6342.1535999999996</v>
      </c>
    </row>
    <row r="26" spans="2:8" ht="25.5" x14ac:dyDescent="0.25">
      <c r="B26" s="41">
        <v>23</v>
      </c>
      <c r="C26" s="88" t="s">
        <v>426</v>
      </c>
      <c r="D26" s="82" t="s">
        <v>677</v>
      </c>
      <c r="E26" s="41" t="s">
        <v>158</v>
      </c>
      <c r="F26" s="42">
        <v>17</v>
      </c>
      <c r="G26" s="50">
        <v>1080</v>
      </c>
      <c r="H26" s="50">
        <f t="shared" si="0"/>
        <v>18360</v>
      </c>
    </row>
    <row r="27" spans="2:8" x14ac:dyDescent="0.25">
      <c r="B27" s="41">
        <v>24</v>
      </c>
      <c r="C27" s="41" t="s">
        <v>410</v>
      </c>
      <c r="D27" s="42" t="s">
        <v>428</v>
      </c>
      <c r="E27" s="41" t="s">
        <v>250</v>
      </c>
      <c r="F27" s="42">
        <v>17</v>
      </c>
      <c r="G27" s="50">
        <v>104.65600000000001</v>
      </c>
      <c r="H27" s="50">
        <f t="shared" si="0"/>
        <v>1779.152</v>
      </c>
    </row>
    <row r="28" spans="2:8" x14ac:dyDescent="0.25">
      <c r="B28" s="41">
        <v>25</v>
      </c>
      <c r="C28" s="72">
        <v>133.1</v>
      </c>
      <c r="D28" s="42" t="s">
        <v>253</v>
      </c>
      <c r="E28" s="41" t="s">
        <v>157</v>
      </c>
      <c r="F28" s="42">
        <v>17</v>
      </c>
      <c r="G28" s="50">
        <v>60.758062728582523</v>
      </c>
      <c r="H28" s="50">
        <f t="shared" si="0"/>
        <v>1032.8870663859029</v>
      </c>
    </row>
    <row r="29" spans="2:8" ht="15" customHeight="1" x14ac:dyDescent="0.25">
      <c r="B29" s="94" t="s">
        <v>74</v>
      </c>
      <c r="C29" s="450" t="s">
        <v>254</v>
      </c>
      <c r="D29" s="450"/>
      <c r="E29" s="450"/>
      <c r="F29" s="450"/>
      <c r="G29" s="450"/>
      <c r="H29" s="127">
        <f>SUM(H4:H28)</f>
        <v>267989.34201941243</v>
      </c>
    </row>
    <row r="30" spans="2:8" x14ac:dyDescent="0.25">
      <c r="B30" s="41" t="s">
        <v>75</v>
      </c>
      <c r="C30" s="446" t="s">
        <v>255</v>
      </c>
      <c r="D30" s="446"/>
      <c r="E30" s="446"/>
      <c r="F30" s="52" t="s">
        <v>227</v>
      </c>
      <c r="G30" s="53">
        <v>0.03</v>
      </c>
      <c r="H30" s="50">
        <f t="shared" ref="H30:H35" si="1">G30*$H$29</f>
        <v>8039.6802605823723</v>
      </c>
    </row>
    <row r="31" spans="2:8" x14ac:dyDescent="0.25">
      <c r="B31" s="41" t="s">
        <v>76</v>
      </c>
      <c r="C31" s="446" t="s">
        <v>256</v>
      </c>
      <c r="D31" s="446"/>
      <c r="E31" s="446"/>
      <c r="F31" s="52" t="s">
        <v>227</v>
      </c>
      <c r="G31" s="53">
        <v>0.03</v>
      </c>
      <c r="H31" s="50">
        <f t="shared" si="1"/>
        <v>8039.6802605823723</v>
      </c>
    </row>
    <row r="32" spans="2:8" x14ac:dyDescent="0.25">
      <c r="B32" s="41" t="s">
        <v>77</v>
      </c>
      <c r="C32" s="446" t="s">
        <v>257</v>
      </c>
      <c r="D32" s="446"/>
      <c r="E32" s="446"/>
      <c r="F32" s="52" t="s">
        <v>227</v>
      </c>
      <c r="G32" s="53">
        <v>0.03</v>
      </c>
      <c r="H32" s="50">
        <f t="shared" si="1"/>
        <v>8039.6802605823723</v>
      </c>
    </row>
    <row r="33" spans="2:8" x14ac:dyDescent="0.25">
      <c r="B33" s="41" t="s">
        <v>78</v>
      </c>
      <c r="C33" s="446" t="s">
        <v>258</v>
      </c>
      <c r="D33" s="446"/>
      <c r="E33" s="446"/>
      <c r="F33" s="52" t="s">
        <v>227</v>
      </c>
      <c r="G33" s="53">
        <v>0.04</v>
      </c>
      <c r="H33" s="50">
        <f t="shared" si="1"/>
        <v>10719.573680776497</v>
      </c>
    </row>
    <row r="34" spans="2:8" x14ac:dyDescent="0.25">
      <c r="B34" s="41" t="s">
        <v>213</v>
      </c>
      <c r="C34" s="446" t="s">
        <v>259</v>
      </c>
      <c r="D34" s="446"/>
      <c r="E34" s="446"/>
      <c r="F34" s="52" t="s">
        <v>227</v>
      </c>
      <c r="G34" s="53">
        <v>0.02</v>
      </c>
      <c r="H34" s="50">
        <f t="shared" si="1"/>
        <v>5359.7868403882485</v>
      </c>
    </row>
    <row r="35" spans="2:8" x14ac:dyDescent="0.25">
      <c r="B35" s="41" t="s">
        <v>92</v>
      </c>
      <c r="C35" s="446" t="s">
        <v>260</v>
      </c>
      <c r="D35" s="446"/>
      <c r="E35" s="446"/>
      <c r="F35" s="52" t="s">
        <v>227</v>
      </c>
      <c r="G35" s="53">
        <v>0.1</v>
      </c>
      <c r="H35" s="50">
        <f t="shared" si="1"/>
        <v>26798.934201941243</v>
      </c>
    </row>
    <row r="36" spans="2:8" x14ac:dyDescent="0.25">
      <c r="B36" s="352" t="s">
        <v>93</v>
      </c>
      <c r="C36" s="451" t="s">
        <v>261</v>
      </c>
      <c r="D36" s="452"/>
      <c r="E36" s="453"/>
      <c r="F36" s="457" t="s">
        <v>144</v>
      </c>
      <c r="G36" s="458"/>
      <c r="H36" s="50">
        <f>'11 KV line labour'!Q73</f>
        <v>163469.66303324106</v>
      </c>
    </row>
    <row r="37" spans="2:8" x14ac:dyDescent="0.25">
      <c r="B37" s="353"/>
      <c r="C37" s="454"/>
      <c r="D37" s="455"/>
      <c r="E37" s="456"/>
      <c r="F37" s="457" t="s">
        <v>145</v>
      </c>
      <c r="G37" s="458"/>
      <c r="H37" s="50">
        <f>'11 KV line labour'!R73</f>
        <v>167036.2934473326</v>
      </c>
    </row>
    <row r="38" spans="2:8" x14ac:dyDescent="0.25">
      <c r="B38" s="331" t="s">
        <v>94</v>
      </c>
      <c r="C38" s="355" t="s">
        <v>262</v>
      </c>
      <c r="D38" s="355"/>
      <c r="E38" s="355"/>
      <c r="F38" s="446" t="s">
        <v>144</v>
      </c>
      <c r="G38" s="446"/>
      <c r="H38" s="128">
        <f>SUM(H29:H36)</f>
        <v>498456.3405575066</v>
      </c>
    </row>
    <row r="39" spans="2:8" x14ac:dyDescent="0.25">
      <c r="B39" s="331"/>
      <c r="C39" s="355"/>
      <c r="D39" s="355"/>
      <c r="E39" s="355"/>
      <c r="F39" s="446" t="s">
        <v>145</v>
      </c>
      <c r="G39" s="446"/>
      <c r="H39" s="128">
        <f>SUM(H29:H35,H37)</f>
        <v>502022.97097159817</v>
      </c>
    </row>
  </sheetData>
  <mergeCells count="16">
    <mergeCell ref="B36:B37"/>
    <mergeCell ref="C36:E37"/>
    <mergeCell ref="F36:G36"/>
    <mergeCell ref="F37:G37"/>
    <mergeCell ref="B38:B39"/>
    <mergeCell ref="C38:E39"/>
    <mergeCell ref="F38:G38"/>
    <mergeCell ref="F39:G39"/>
    <mergeCell ref="D2:H2"/>
    <mergeCell ref="C34:E34"/>
    <mergeCell ref="C35:E35"/>
    <mergeCell ref="C29:G29"/>
    <mergeCell ref="C30:E30"/>
    <mergeCell ref="C31:E31"/>
    <mergeCell ref="C32:E32"/>
    <mergeCell ref="C33:E33"/>
  </mergeCells>
  <pageMargins left="0.7" right="0.7" top="0.75" bottom="0.75" header="0.3" footer="0.3"/>
  <pageSetup scale="96"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8"/>
  <sheetViews>
    <sheetView zoomScaleNormal="100" workbookViewId="0"/>
  </sheetViews>
  <sheetFormatPr defaultRowHeight="15" x14ac:dyDescent="0.25"/>
  <cols>
    <col min="1" max="1" width="9.140625" style="46"/>
    <col min="2" max="2" width="5" style="46" bestFit="1" customWidth="1"/>
    <col min="3" max="3" width="6" style="54" customWidth="1"/>
    <col min="4" max="4" width="49.140625" style="46" customWidth="1"/>
    <col min="5" max="5" width="5.85546875" style="54" customWidth="1"/>
    <col min="6" max="6" width="5.5703125" style="46" customWidth="1"/>
    <col min="7" max="7" width="10.7109375" style="46" bestFit="1" customWidth="1"/>
    <col min="8" max="8" width="10" style="46" customWidth="1"/>
    <col min="9" max="16384" width="9.140625" style="46"/>
  </cols>
  <sheetData>
    <row r="2" spans="2:8" ht="49.5" customHeight="1" x14ac:dyDescent="0.25">
      <c r="C2" s="95"/>
      <c r="D2" s="447" t="s">
        <v>626</v>
      </c>
      <c r="E2" s="448"/>
      <c r="F2" s="448"/>
      <c r="G2" s="448"/>
      <c r="H2" s="449"/>
    </row>
    <row r="3" spans="2:8" ht="25.5" x14ac:dyDescent="0.25">
      <c r="B3" s="79" t="s">
        <v>114</v>
      </c>
      <c r="C3" s="79" t="s">
        <v>229</v>
      </c>
      <c r="D3" s="79" t="s">
        <v>230</v>
      </c>
      <c r="E3" s="79" t="s">
        <v>0</v>
      </c>
      <c r="F3" s="79" t="s">
        <v>107</v>
      </c>
      <c r="G3" s="79" t="s">
        <v>231</v>
      </c>
      <c r="H3" s="79" t="s">
        <v>232</v>
      </c>
    </row>
    <row r="4" spans="2:8" x14ac:dyDescent="0.25">
      <c r="B4" s="41">
        <v>1</v>
      </c>
      <c r="C4" s="72">
        <v>164.1</v>
      </c>
      <c r="D4" s="152" t="s">
        <v>308</v>
      </c>
      <c r="E4" s="41" t="s">
        <v>157</v>
      </c>
      <c r="F4" s="59">
        <v>2</v>
      </c>
      <c r="G4" s="50">
        <v>4754.7768663261377</v>
      </c>
      <c r="H4" s="50">
        <f t="shared" ref="H4:H37" si="0">F4*G4</f>
        <v>9509.5537326522754</v>
      </c>
    </row>
    <row r="5" spans="2:8" x14ac:dyDescent="0.25">
      <c r="B5" s="41">
        <v>2</v>
      </c>
      <c r="C5" s="41">
        <v>23.1</v>
      </c>
      <c r="D5" s="152" t="s">
        <v>309</v>
      </c>
      <c r="E5" s="41" t="s">
        <v>234</v>
      </c>
      <c r="F5" s="60">
        <v>0.3</v>
      </c>
      <c r="G5" s="50">
        <v>38308.971184750095</v>
      </c>
      <c r="H5" s="50">
        <f t="shared" si="0"/>
        <v>11492.691355425028</v>
      </c>
    </row>
    <row r="6" spans="2:8" x14ac:dyDescent="0.25">
      <c r="B6" s="41">
        <v>3</v>
      </c>
      <c r="C6" s="41">
        <v>123.1</v>
      </c>
      <c r="D6" s="152" t="s">
        <v>310</v>
      </c>
      <c r="E6" s="41" t="s">
        <v>157</v>
      </c>
      <c r="F6" s="59">
        <v>6</v>
      </c>
      <c r="G6" s="50">
        <v>39.239582178876212</v>
      </c>
      <c r="H6" s="50">
        <f t="shared" si="0"/>
        <v>235.43749307325726</v>
      </c>
    </row>
    <row r="7" spans="2:8" x14ac:dyDescent="0.25">
      <c r="B7" s="41">
        <v>4</v>
      </c>
      <c r="C7" s="41">
        <v>101.1</v>
      </c>
      <c r="D7" s="152" t="s">
        <v>311</v>
      </c>
      <c r="E7" s="41" t="s">
        <v>157</v>
      </c>
      <c r="F7" s="59">
        <v>3</v>
      </c>
      <c r="G7" s="50">
        <v>154.69497662030849</v>
      </c>
      <c r="H7" s="50">
        <f t="shared" si="0"/>
        <v>464.08492986092551</v>
      </c>
    </row>
    <row r="8" spans="2:8" x14ac:dyDescent="0.25">
      <c r="B8" s="41">
        <v>5</v>
      </c>
      <c r="C8" s="41">
        <v>102.1</v>
      </c>
      <c r="D8" s="152" t="s">
        <v>312</v>
      </c>
      <c r="E8" s="41" t="s">
        <v>157</v>
      </c>
      <c r="F8" s="59">
        <v>3</v>
      </c>
      <c r="G8" s="50">
        <v>229.02385941322578</v>
      </c>
      <c r="H8" s="50">
        <f t="shared" si="0"/>
        <v>687.07157823967736</v>
      </c>
    </row>
    <row r="9" spans="2:8" x14ac:dyDescent="0.25">
      <c r="B9" s="41">
        <v>6</v>
      </c>
      <c r="C9" s="41">
        <v>4.0999999999999996</v>
      </c>
      <c r="D9" s="152" t="s">
        <v>450</v>
      </c>
      <c r="E9" s="41" t="s">
        <v>158</v>
      </c>
      <c r="F9" s="59">
        <v>1</v>
      </c>
      <c r="G9" s="50">
        <v>16189.192083570191</v>
      </c>
      <c r="H9" s="50">
        <f t="shared" si="0"/>
        <v>16189.192083570191</v>
      </c>
    </row>
    <row r="10" spans="2:8" x14ac:dyDescent="0.25">
      <c r="B10" s="41">
        <v>7</v>
      </c>
      <c r="C10" s="41">
        <v>104.1</v>
      </c>
      <c r="D10" s="152" t="s">
        <v>313</v>
      </c>
      <c r="E10" s="41" t="s">
        <v>157</v>
      </c>
      <c r="F10" s="59">
        <v>1</v>
      </c>
      <c r="G10" s="50">
        <v>2003.6613836898032</v>
      </c>
      <c r="H10" s="50">
        <f t="shared" si="0"/>
        <v>2003.6613836898032</v>
      </c>
    </row>
    <row r="11" spans="2:8" ht="25.5" x14ac:dyDescent="0.25">
      <c r="B11" s="41">
        <v>8</v>
      </c>
      <c r="C11" s="88">
        <v>190.1</v>
      </c>
      <c r="D11" s="82" t="s">
        <v>451</v>
      </c>
      <c r="E11" s="41" t="s">
        <v>157</v>
      </c>
      <c r="F11" s="59">
        <v>1</v>
      </c>
      <c r="G11" s="50">
        <v>51833.143861512326</v>
      </c>
      <c r="H11" s="50">
        <f t="shared" si="0"/>
        <v>51833.143861512326</v>
      </c>
    </row>
    <row r="12" spans="2:8" x14ac:dyDescent="0.25">
      <c r="B12" s="41">
        <v>9</v>
      </c>
      <c r="C12" s="41" t="s">
        <v>452</v>
      </c>
      <c r="D12" s="152" t="s">
        <v>314</v>
      </c>
      <c r="E12" s="41" t="s">
        <v>158</v>
      </c>
      <c r="F12" s="59">
        <v>4</v>
      </c>
      <c r="G12" s="50">
        <v>182.46600000000001</v>
      </c>
      <c r="H12" s="50">
        <f t="shared" si="0"/>
        <v>729.86400000000003</v>
      </c>
    </row>
    <row r="13" spans="2:8" ht="25.5" x14ac:dyDescent="0.25">
      <c r="B13" s="41">
        <v>10</v>
      </c>
      <c r="C13" s="41" t="s">
        <v>453</v>
      </c>
      <c r="D13" s="152" t="s">
        <v>315</v>
      </c>
      <c r="E13" s="41" t="s">
        <v>316</v>
      </c>
      <c r="F13" s="59">
        <v>4</v>
      </c>
      <c r="G13" s="50">
        <v>127.53</v>
      </c>
      <c r="H13" s="50">
        <f t="shared" si="0"/>
        <v>510.12</v>
      </c>
    </row>
    <row r="14" spans="2:8" x14ac:dyDescent="0.25">
      <c r="B14" s="41">
        <v>11</v>
      </c>
      <c r="C14" s="41" t="s">
        <v>420</v>
      </c>
      <c r="D14" s="152" t="s">
        <v>317</v>
      </c>
      <c r="E14" s="41" t="s">
        <v>250</v>
      </c>
      <c r="F14" s="59">
        <v>4</v>
      </c>
      <c r="G14" s="50">
        <v>127.54949999999999</v>
      </c>
      <c r="H14" s="50">
        <f t="shared" si="0"/>
        <v>510.19799999999998</v>
      </c>
    </row>
    <row r="15" spans="2:8" ht="25.5" x14ac:dyDescent="0.25">
      <c r="B15" s="41">
        <v>12</v>
      </c>
      <c r="C15" s="41" t="s">
        <v>454</v>
      </c>
      <c r="D15" s="152" t="s">
        <v>318</v>
      </c>
      <c r="E15" s="41" t="s">
        <v>158</v>
      </c>
      <c r="F15" s="59">
        <v>2</v>
      </c>
      <c r="G15" s="50">
        <v>3495.5103999999997</v>
      </c>
      <c r="H15" s="50">
        <f t="shared" si="0"/>
        <v>6991.0207999999993</v>
      </c>
    </row>
    <row r="16" spans="2:8" ht="25.5" x14ac:dyDescent="0.25">
      <c r="B16" s="41">
        <v>13</v>
      </c>
      <c r="C16" s="41" t="s">
        <v>455</v>
      </c>
      <c r="D16" s="152" t="s">
        <v>319</v>
      </c>
      <c r="E16" s="41" t="s">
        <v>158</v>
      </c>
      <c r="F16" s="59">
        <v>2</v>
      </c>
      <c r="G16" s="50">
        <v>3495.5103999999997</v>
      </c>
      <c r="H16" s="50">
        <f t="shared" si="0"/>
        <v>6991.0207999999993</v>
      </c>
    </row>
    <row r="17" spans="2:8" ht="25.5" x14ac:dyDescent="0.25">
      <c r="B17" s="41">
        <v>14</v>
      </c>
      <c r="C17" s="41" t="s">
        <v>456</v>
      </c>
      <c r="D17" s="152" t="s">
        <v>320</v>
      </c>
      <c r="E17" s="41" t="s">
        <v>316</v>
      </c>
      <c r="F17" s="59">
        <v>1</v>
      </c>
      <c r="G17" s="50">
        <v>1225.7833999999998</v>
      </c>
      <c r="H17" s="50">
        <f t="shared" si="0"/>
        <v>1225.7833999999998</v>
      </c>
    </row>
    <row r="18" spans="2:8" x14ac:dyDescent="0.25">
      <c r="B18" s="41">
        <v>15</v>
      </c>
      <c r="C18" s="41" t="s">
        <v>457</v>
      </c>
      <c r="D18" s="152" t="s">
        <v>321</v>
      </c>
      <c r="E18" s="41" t="s">
        <v>158</v>
      </c>
      <c r="F18" s="59">
        <v>2</v>
      </c>
      <c r="G18" s="50">
        <v>3495.5103999999997</v>
      </c>
      <c r="H18" s="50">
        <f t="shared" si="0"/>
        <v>6991.0207999999993</v>
      </c>
    </row>
    <row r="19" spans="2:8" ht="25.5" x14ac:dyDescent="0.25">
      <c r="B19" s="41">
        <v>16</v>
      </c>
      <c r="C19" s="41" t="s">
        <v>458</v>
      </c>
      <c r="D19" s="152" t="s">
        <v>459</v>
      </c>
      <c r="E19" s="41" t="s">
        <v>158</v>
      </c>
      <c r="F19" s="59">
        <v>2</v>
      </c>
      <c r="G19" s="50">
        <v>2940.3840000000005</v>
      </c>
      <c r="H19" s="50">
        <f t="shared" si="0"/>
        <v>5880.7680000000009</v>
      </c>
    </row>
    <row r="20" spans="2:8" ht="25.5" x14ac:dyDescent="0.25">
      <c r="B20" s="41">
        <v>17</v>
      </c>
      <c r="C20" s="41" t="s">
        <v>460</v>
      </c>
      <c r="D20" s="85" t="s">
        <v>461</v>
      </c>
      <c r="E20" s="41" t="s">
        <v>158</v>
      </c>
      <c r="F20" s="59">
        <v>2</v>
      </c>
      <c r="G20" s="50">
        <v>2093.12</v>
      </c>
      <c r="H20" s="50">
        <f t="shared" si="0"/>
        <v>4186.24</v>
      </c>
    </row>
    <row r="21" spans="2:8" ht="25.5" x14ac:dyDescent="0.25">
      <c r="B21" s="41">
        <v>18</v>
      </c>
      <c r="C21" s="41" t="s">
        <v>322</v>
      </c>
      <c r="D21" s="152" t="s">
        <v>323</v>
      </c>
      <c r="E21" s="41" t="s">
        <v>158</v>
      </c>
      <c r="F21" s="59">
        <v>4</v>
      </c>
      <c r="G21" s="50">
        <v>141.28559999999999</v>
      </c>
      <c r="H21" s="50">
        <f t="shared" si="0"/>
        <v>565.14239999999995</v>
      </c>
    </row>
    <row r="22" spans="2:8" x14ac:dyDescent="0.25">
      <c r="B22" s="41">
        <v>19</v>
      </c>
      <c r="C22" s="41" t="s">
        <v>462</v>
      </c>
      <c r="D22" s="152" t="s">
        <v>463</v>
      </c>
      <c r="E22" s="41" t="s">
        <v>250</v>
      </c>
      <c r="F22" s="59">
        <v>4</v>
      </c>
      <c r="G22" s="50">
        <v>141.26400000000001</v>
      </c>
      <c r="H22" s="50">
        <f t="shared" si="0"/>
        <v>565.05600000000004</v>
      </c>
    </row>
    <row r="23" spans="2:8" x14ac:dyDescent="0.25">
      <c r="B23" s="41">
        <v>20</v>
      </c>
      <c r="C23" s="41" t="s">
        <v>464</v>
      </c>
      <c r="D23" s="152" t="s">
        <v>465</v>
      </c>
      <c r="E23" s="41" t="s">
        <v>250</v>
      </c>
      <c r="F23" s="59">
        <v>4</v>
      </c>
      <c r="G23" s="50">
        <v>58.860000000000007</v>
      </c>
      <c r="H23" s="50">
        <f t="shared" si="0"/>
        <v>235.44000000000003</v>
      </c>
    </row>
    <row r="24" spans="2:8" x14ac:dyDescent="0.25">
      <c r="B24" s="41">
        <v>21</v>
      </c>
      <c r="C24" s="41" t="s">
        <v>466</v>
      </c>
      <c r="D24" s="152" t="s">
        <v>324</v>
      </c>
      <c r="E24" s="41" t="s">
        <v>158</v>
      </c>
      <c r="F24" s="59">
        <v>1</v>
      </c>
      <c r="G24" s="50">
        <v>810.10750304776695</v>
      </c>
      <c r="H24" s="50">
        <f t="shared" si="0"/>
        <v>810.10750304776695</v>
      </c>
    </row>
    <row r="25" spans="2:8" x14ac:dyDescent="0.25">
      <c r="B25" s="41">
        <v>22</v>
      </c>
      <c r="C25" s="41">
        <v>170.1</v>
      </c>
      <c r="D25" s="152" t="s">
        <v>325</v>
      </c>
      <c r="E25" s="41" t="s">
        <v>158</v>
      </c>
      <c r="F25" s="59">
        <v>1</v>
      </c>
      <c r="G25" s="50">
        <v>651.3770641693452</v>
      </c>
      <c r="H25" s="50">
        <f t="shared" si="0"/>
        <v>651.3770641693452</v>
      </c>
    </row>
    <row r="26" spans="2:8" x14ac:dyDescent="0.25">
      <c r="B26" s="41">
        <v>23</v>
      </c>
      <c r="C26" s="41">
        <v>17.100000000000001</v>
      </c>
      <c r="D26" s="152" t="s">
        <v>244</v>
      </c>
      <c r="E26" s="41" t="s">
        <v>222</v>
      </c>
      <c r="F26" s="59">
        <v>10</v>
      </c>
      <c r="G26" s="50">
        <v>258.22244052676297</v>
      </c>
      <c r="H26" s="50">
        <f t="shared" si="0"/>
        <v>2582.2244052676297</v>
      </c>
    </row>
    <row r="27" spans="2:8" x14ac:dyDescent="0.25">
      <c r="B27" s="41">
        <v>24</v>
      </c>
      <c r="C27" s="41">
        <v>18.100000000000001</v>
      </c>
      <c r="D27" s="152" t="s">
        <v>301</v>
      </c>
      <c r="E27" s="41" t="s">
        <v>222</v>
      </c>
      <c r="F27" s="59">
        <v>10</v>
      </c>
      <c r="G27" s="50">
        <v>72.887734862758151</v>
      </c>
      <c r="H27" s="50">
        <f t="shared" si="0"/>
        <v>728.87734862758157</v>
      </c>
    </row>
    <row r="28" spans="2:8" x14ac:dyDescent="0.25">
      <c r="B28" s="41">
        <v>25</v>
      </c>
      <c r="C28" s="41">
        <v>122.1</v>
      </c>
      <c r="D28" s="152" t="s">
        <v>302</v>
      </c>
      <c r="E28" s="41" t="s">
        <v>222</v>
      </c>
      <c r="F28" s="59">
        <v>20</v>
      </c>
      <c r="G28" s="50">
        <v>75.281771306660772</v>
      </c>
      <c r="H28" s="50">
        <f t="shared" si="0"/>
        <v>1505.6354261332153</v>
      </c>
    </row>
    <row r="29" spans="2:8" x14ac:dyDescent="0.25">
      <c r="B29" s="41">
        <v>26</v>
      </c>
      <c r="C29" s="41">
        <v>124.1</v>
      </c>
      <c r="D29" s="152" t="s">
        <v>303</v>
      </c>
      <c r="E29" s="41" t="s">
        <v>222</v>
      </c>
      <c r="F29" s="59">
        <v>10</v>
      </c>
      <c r="G29" s="50">
        <v>248.75177003681679</v>
      </c>
      <c r="H29" s="50">
        <f t="shared" si="0"/>
        <v>2487.5177003681679</v>
      </c>
    </row>
    <row r="30" spans="2:8" x14ac:dyDescent="0.25">
      <c r="B30" s="41">
        <v>27</v>
      </c>
      <c r="C30" s="41">
        <v>119.1</v>
      </c>
      <c r="D30" s="152" t="s">
        <v>467</v>
      </c>
      <c r="E30" s="41" t="s">
        <v>157</v>
      </c>
      <c r="F30" s="59">
        <v>2</v>
      </c>
      <c r="G30" s="50">
        <v>281.71814764841946</v>
      </c>
      <c r="H30" s="50">
        <f t="shared" si="0"/>
        <v>563.43629529683892</v>
      </c>
    </row>
    <row r="31" spans="2:8" x14ac:dyDescent="0.25">
      <c r="B31" s="41">
        <v>28</v>
      </c>
      <c r="C31" s="41">
        <v>136.1</v>
      </c>
      <c r="D31" s="152" t="s">
        <v>249</v>
      </c>
      <c r="E31" s="41" t="s">
        <v>222</v>
      </c>
      <c r="F31" s="59">
        <v>10</v>
      </c>
      <c r="G31" s="50">
        <v>75.002923647812892</v>
      </c>
      <c r="H31" s="50">
        <f t="shared" si="0"/>
        <v>750.02923647812895</v>
      </c>
    </row>
    <row r="32" spans="2:8" x14ac:dyDescent="0.25">
      <c r="B32" s="41">
        <v>29</v>
      </c>
      <c r="C32" s="41">
        <v>137.1</v>
      </c>
      <c r="D32" s="152" t="s">
        <v>304</v>
      </c>
      <c r="E32" s="41" t="s">
        <v>305</v>
      </c>
      <c r="F32" s="59">
        <v>5</v>
      </c>
      <c r="G32" s="50">
        <v>281.36521558197234</v>
      </c>
      <c r="H32" s="50">
        <f t="shared" si="0"/>
        <v>1406.8260779098616</v>
      </c>
    </row>
    <row r="33" spans="2:8" x14ac:dyDescent="0.25">
      <c r="B33" s="41">
        <v>30</v>
      </c>
      <c r="C33" s="41">
        <v>138.1</v>
      </c>
      <c r="D33" s="152" t="s">
        <v>306</v>
      </c>
      <c r="E33" s="41" t="s">
        <v>305</v>
      </c>
      <c r="F33" s="59">
        <v>8</v>
      </c>
      <c r="G33" s="50">
        <v>158.11743185527106</v>
      </c>
      <c r="H33" s="50">
        <f t="shared" si="0"/>
        <v>1264.9394548421685</v>
      </c>
    </row>
    <row r="34" spans="2:8" x14ac:dyDescent="0.25">
      <c r="B34" s="41">
        <v>31</v>
      </c>
      <c r="C34" s="41" t="s">
        <v>468</v>
      </c>
      <c r="D34" s="82" t="s">
        <v>469</v>
      </c>
      <c r="E34" s="41" t="s">
        <v>222</v>
      </c>
      <c r="F34" s="59">
        <v>10</v>
      </c>
      <c r="G34" s="50">
        <v>156.98399999999998</v>
      </c>
      <c r="H34" s="50">
        <f t="shared" si="0"/>
        <v>1569.8399999999997</v>
      </c>
    </row>
    <row r="35" spans="2:8" x14ac:dyDescent="0.25">
      <c r="B35" s="41">
        <v>32</v>
      </c>
      <c r="C35" s="41" t="s">
        <v>410</v>
      </c>
      <c r="D35" s="82" t="s">
        <v>428</v>
      </c>
      <c r="E35" s="41" t="s">
        <v>250</v>
      </c>
      <c r="F35" s="59">
        <v>2</v>
      </c>
      <c r="G35" s="50">
        <v>104.65600000000001</v>
      </c>
      <c r="H35" s="50">
        <f t="shared" si="0"/>
        <v>209.31200000000001</v>
      </c>
    </row>
    <row r="36" spans="2:8" ht="25.5" x14ac:dyDescent="0.25">
      <c r="B36" s="41">
        <v>33</v>
      </c>
      <c r="C36" s="41" t="s">
        <v>426</v>
      </c>
      <c r="D36" s="152" t="s">
        <v>427</v>
      </c>
      <c r="E36" s="41" t="s">
        <v>222</v>
      </c>
      <c r="F36" s="59">
        <v>7</v>
      </c>
      <c r="G36" s="50">
        <v>1080</v>
      </c>
      <c r="H36" s="50">
        <f t="shared" si="0"/>
        <v>7560</v>
      </c>
    </row>
    <row r="37" spans="2:8" x14ac:dyDescent="0.25">
      <c r="B37" s="41">
        <v>34</v>
      </c>
      <c r="C37" s="72">
        <v>133.1</v>
      </c>
      <c r="D37" s="152" t="s">
        <v>253</v>
      </c>
      <c r="E37" s="41" t="s">
        <v>157</v>
      </c>
      <c r="F37" s="59">
        <v>2</v>
      </c>
      <c r="G37" s="50">
        <v>60.758062728582523</v>
      </c>
      <c r="H37" s="50">
        <f t="shared" si="0"/>
        <v>121.51612545716505</v>
      </c>
    </row>
    <row r="38" spans="2:8" ht="15" customHeight="1" x14ac:dyDescent="0.25">
      <c r="B38" s="94" t="s">
        <v>74</v>
      </c>
      <c r="C38" s="450" t="s">
        <v>254</v>
      </c>
      <c r="D38" s="450"/>
      <c r="E38" s="450"/>
      <c r="F38" s="450"/>
      <c r="G38" s="450"/>
      <c r="H38" s="127">
        <f>SUM(H4:H37)</f>
        <v>150008.14925562128</v>
      </c>
    </row>
    <row r="39" spans="2:8" x14ac:dyDescent="0.25">
      <c r="B39" s="41" t="s">
        <v>75</v>
      </c>
      <c r="C39" s="446" t="s">
        <v>255</v>
      </c>
      <c r="D39" s="446"/>
      <c r="E39" s="446"/>
      <c r="F39" s="52" t="s">
        <v>227</v>
      </c>
      <c r="G39" s="53">
        <v>0.03</v>
      </c>
      <c r="H39" s="50">
        <f t="shared" ref="H39:H44" si="1">G39*$H$38</f>
        <v>4500.244477668638</v>
      </c>
    </row>
    <row r="40" spans="2:8" ht="15" customHeight="1" x14ac:dyDescent="0.25">
      <c r="B40" s="41" t="s">
        <v>76</v>
      </c>
      <c r="C40" s="446" t="s">
        <v>256</v>
      </c>
      <c r="D40" s="446"/>
      <c r="E40" s="446"/>
      <c r="F40" s="52" t="s">
        <v>227</v>
      </c>
      <c r="G40" s="53">
        <v>0.03</v>
      </c>
      <c r="H40" s="50">
        <f t="shared" si="1"/>
        <v>4500.244477668638</v>
      </c>
    </row>
    <row r="41" spans="2:8" x14ac:dyDescent="0.25">
      <c r="B41" s="41" t="s">
        <v>77</v>
      </c>
      <c r="C41" s="446" t="s">
        <v>257</v>
      </c>
      <c r="D41" s="446"/>
      <c r="E41" s="446"/>
      <c r="F41" s="52" t="s">
        <v>227</v>
      </c>
      <c r="G41" s="53">
        <v>0.03</v>
      </c>
      <c r="H41" s="50">
        <f t="shared" si="1"/>
        <v>4500.244477668638</v>
      </c>
    </row>
    <row r="42" spans="2:8" x14ac:dyDescent="0.25">
      <c r="B42" s="41" t="s">
        <v>78</v>
      </c>
      <c r="C42" s="446" t="s">
        <v>258</v>
      </c>
      <c r="D42" s="446"/>
      <c r="E42" s="446"/>
      <c r="F42" s="52" t="s">
        <v>227</v>
      </c>
      <c r="G42" s="53">
        <v>0.04</v>
      </c>
      <c r="H42" s="50">
        <f t="shared" si="1"/>
        <v>6000.3259702248515</v>
      </c>
    </row>
    <row r="43" spans="2:8" x14ac:dyDescent="0.25">
      <c r="B43" s="41" t="s">
        <v>213</v>
      </c>
      <c r="C43" s="446" t="s">
        <v>259</v>
      </c>
      <c r="D43" s="446"/>
      <c r="E43" s="446"/>
      <c r="F43" s="52" t="s">
        <v>227</v>
      </c>
      <c r="G43" s="53">
        <v>0.02</v>
      </c>
      <c r="H43" s="50">
        <f t="shared" si="1"/>
        <v>3000.1629851124258</v>
      </c>
    </row>
    <row r="44" spans="2:8" x14ac:dyDescent="0.25">
      <c r="B44" s="41" t="s">
        <v>92</v>
      </c>
      <c r="C44" s="446" t="s">
        <v>260</v>
      </c>
      <c r="D44" s="446"/>
      <c r="E44" s="446"/>
      <c r="F44" s="52" t="s">
        <v>227</v>
      </c>
      <c r="G44" s="53">
        <v>0.1</v>
      </c>
      <c r="H44" s="50">
        <f t="shared" si="1"/>
        <v>15000.814925562128</v>
      </c>
    </row>
    <row r="45" spans="2:8" x14ac:dyDescent="0.25">
      <c r="B45" s="352" t="s">
        <v>93</v>
      </c>
      <c r="C45" s="451" t="s">
        <v>261</v>
      </c>
      <c r="D45" s="452"/>
      <c r="E45" s="453"/>
      <c r="F45" s="457" t="s">
        <v>144</v>
      </c>
      <c r="G45" s="458"/>
      <c r="H45" s="50">
        <f>'DSS labour'!K29</f>
        <v>22546.137864792683</v>
      </c>
    </row>
    <row r="46" spans="2:8" x14ac:dyDescent="0.25">
      <c r="B46" s="353"/>
      <c r="C46" s="454"/>
      <c r="D46" s="455"/>
      <c r="E46" s="456"/>
      <c r="F46" s="457" t="s">
        <v>145</v>
      </c>
      <c r="G46" s="458"/>
      <c r="H46" s="50">
        <f>'DSS labour'!L29</f>
        <v>23083.356389378088</v>
      </c>
    </row>
    <row r="47" spans="2:8" x14ac:dyDescent="0.25">
      <c r="B47" s="331" t="s">
        <v>94</v>
      </c>
      <c r="C47" s="355" t="s">
        <v>262</v>
      </c>
      <c r="D47" s="355"/>
      <c r="E47" s="355"/>
      <c r="F47" s="446" t="s">
        <v>144</v>
      </c>
      <c r="G47" s="446"/>
      <c r="H47" s="128">
        <f>SUM(H38:H45)</f>
        <v>210056.32443431928</v>
      </c>
    </row>
    <row r="48" spans="2:8" x14ac:dyDescent="0.25">
      <c r="B48" s="331"/>
      <c r="C48" s="355"/>
      <c r="D48" s="355"/>
      <c r="E48" s="355"/>
      <c r="F48" s="446" t="s">
        <v>145</v>
      </c>
      <c r="G48" s="446"/>
      <c r="H48" s="128">
        <f>SUM(H38:H44,H46)</f>
        <v>210593.54295890467</v>
      </c>
    </row>
  </sheetData>
  <mergeCells count="16">
    <mergeCell ref="B45:B46"/>
    <mergeCell ref="C45:E46"/>
    <mergeCell ref="F45:G45"/>
    <mergeCell ref="F46:G46"/>
    <mergeCell ref="B47:B48"/>
    <mergeCell ref="C47:E48"/>
    <mergeCell ref="F47:G47"/>
    <mergeCell ref="F48:G48"/>
    <mergeCell ref="D2:H2"/>
    <mergeCell ref="C41:E41"/>
    <mergeCell ref="C42:E42"/>
    <mergeCell ref="C43:E43"/>
    <mergeCell ref="C44:E44"/>
    <mergeCell ref="C38:G38"/>
    <mergeCell ref="C39:E39"/>
    <mergeCell ref="C40:E40"/>
  </mergeCells>
  <pageMargins left="0.7" right="0.7" top="0.57999999999999996" bottom="0.5" header="0.3" footer="0.3"/>
  <pageSetup paperSize="9" scale="92"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zoomScaleNormal="100" workbookViewId="0"/>
  </sheetViews>
  <sheetFormatPr defaultRowHeight="15" x14ac:dyDescent="0.25"/>
  <cols>
    <col min="1" max="1" width="9.140625" style="46"/>
    <col min="2" max="2" width="5" style="46" bestFit="1" customWidth="1"/>
    <col min="3" max="3" width="6" style="54" customWidth="1"/>
    <col min="4" max="4" width="49.140625" style="46" customWidth="1"/>
    <col min="5" max="5" width="5.85546875" style="54" customWidth="1"/>
    <col min="6" max="6" width="5.5703125" style="46" customWidth="1"/>
    <col min="7" max="7" width="10.7109375" style="46" bestFit="1" customWidth="1"/>
    <col min="8" max="8" width="10" style="46" customWidth="1"/>
    <col min="9" max="16384" width="9.140625" style="46"/>
  </cols>
  <sheetData>
    <row r="1" spans="1:8" x14ac:dyDescent="0.25">
      <c r="A1" s="54"/>
    </row>
    <row r="2" spans="1:8" ht="49.5" customHeight="1" x14ac:dyDescent="0.25">
      <c r="C2" s="95"/>
      <c r="D2" s="447" t="s">
        <v>627</v>
      </c>
      <c r="E2" s="448"/>
      <c r="F2" s="448"/>
      <c r="G2" s="448"/>
      <c r="H2" s="449"/>
    </row>
    <row r="3" spans="1:8" ht="25.5" x14ac:dyDescent="0.25">
      <c r="B3" s="79" t="s">
        <v>114</v>
      </c>
      <c r="C3" s="79" t="s">
        <v>229</v>
      </c>
      <c r="D3" s="79" t="s">
        <v>230</v>
      </c>
      <c r="E3" s="79" t="s">
        <v>0</v>
      </c>
      <c r="F3" s="79" t="s">
        <v>107</v>
      </c>
      <c r="G3" s="79" t="s">
        <v>231</v>
      </c>
      <c r="H3" s="79" t="s">
        <v>232</v>
      </c>
    </row>
    <row r="4" spans="1:8" x14ac:dyDescent="0.25">
      <c r="B4" s="41">
        <v>1</v>
      </c>
      <c r="C4" s="41">
        <v>164.1</v>
      </c>
      <c r="D4" s="152" t="s">
        <v>308</v>
      </c>
      <c r="E4" s="41" t="s">
        <v>157</v>
      </c>
      <c r="F4" s="59">
        <v>2</v>
      </c>
      <c r="G4" s="50">
        <v>4754.7768663261377</v>
      </c>
      <c r="H4" s="50">
        <f t="shared" ref="H4:H39" si="0">F4*G4</f>
        <v>9509.5537326522754</v>
      </c>
    </row>
    <row r="5" spans="1:8" x14ac:dyDescent="0.25">
      <c r="B5" s="41">
        <v>2</v>
      </c>
      <c r="C5" s="41">
        <v>23.1</v>
      </c>
      <c r="D5" s="152" t="s">
        <v>309</v>
      </c>
      <c r="E5" s="41" t="s">
        <v>234</v>
      </c>
      <c r="F5" s="60">
        <v>0.2</v>
      </c>
      <c r="G5" s="50">
        <v>38308.971184750095</v>
      </c>
      <c r="H5" s="50">
        <f t="shared" si="0"/>
        <v>7661.7942369500197</v>
      </c>
    </row>
    <row r="6" spans="1:8" x14ac:dyDescent="0.25">
      <c r="B6" s="41">
        <v>3</v>
      </c>
      <c r="C6" s="41">
        <v>123.1</v>
      </c>
      <c r="D6" s="152" t="s">
        <v>310</v>
      </c>
      <c r="E6" s="41" t="s">
        <v>157</v>
      </c>
      <c r="F6" s="59">
        <v>6</v>
      </c>
      <c r="G6" s="50">
        <v>39.239582178876212</v>
      </c>
      <c r="H6" s="50">
        <f t="shared" si="0"/>
        <v>235.43749307325726</v>
      </c>
    </row>
    <row r="7" spans="1:8" x14ac:dyDescent="0.25">
      <c r="B7" s="41">
        <v>4</v>
      </c>
      <c r="C7" s="41">
        <v>101.1</v>
      </c>
      <c r="D7" s="152" t="s">
        <v>311</v>
      </c>
      <c r="E7" s="41" t="s">
        <v>157</v>
      </c>
      <c r="F7" s="59">
        <v>3</v>
      </c>
      <c r="G7" s="50">
        <v>154.69497662030849</v>
      </c>
      <c r="H7" s="50">
        <f t="shared" si="0"/>
        <v>464.08492986092551</v>
      </c>
    </row>
    <row r="8" spans="1:8" x14ac:dyDescent="0.25">
      <c r="B8" s="41">
        <v>5</v>
      </c>
      <c r="C8" s="41">
        <v>102.1</v>
      </c>
      <c r="D8" s="152" t="s">
        <v>312</v>
      </c>
      <c r="E8" s="41" t="s">
        <v>157</v>
      </c>
      <c r="F8" s="59">
        <v>3</v>
      </c>
      <c r="G8" s="50">
        <v>229.02385941322578</v>
      </c>
      <c r="H8" s="50">
        <f t="shared" si="0"/>
        <v>687.07157823967736</v>
      </c>
    </row>
    <row r="9" spans="1:8" x14ac:dyDescent="0.25">
      <c r="B9" s="41">
        <v>6</v>
      </c>
      <c r="C9" s="41">
        <v>4.0999999999999996</v>
      </c>
      <c r="D9" s="152" t="s">
        <v>450</v>
      </c>
      <c r="E9" s="41" t="s">
        <v>158</v>
      </c>
      <c r="F9" s="59">
        <v>1</v>
      </c>
      <c r="G9" s="50">
        <v>16189.192083570191</v>
      </c>
      <c r="H9" s="50">
        <f t="shared" si="0"/>
        <v>16189.192083570191</v>
      </c>
    </row>
    <row r="10" spans="1:8" x14ac:dyDescent="0.25">
      <c r="B10" s="41">
        <v>7</v>
      </c>
      <c r="C10" s="41">
        <v>104.1</v>
      </c>
      <c r="D10" s="152" t="s">
        <v>313</v>
      </c>
      <c r="E10" s="41" t="s">
        <v>157</v>
      </c>
      <c r="F10" s="59">
        <v>1</v>
      </c>
      <c r="G10" s="50">
        <v>2003.6613836898032</v>
      </c>
      <c r="H10" s="50">
        <f t="shared" si="0"/>
        <v>2003.6613836898032</v>
      </c>
    </row>
    <row r="11" spans="1:8" ht="25.5" x14ac:dyDescent="0.25">
      <c r="B11" s="41">
        <v>8</v>
      </c>
      <c r="C11" s="41">
        <v>189.2</v>
      </c>
      <c r="D11" s="152" t="s">
        <v>328</v>
      </c>
      <c r="E11" s="41" t="s">
        <v>157</v>
      </c>
      <c r="F11" s="59">
        <v>1</v>
      </c>
      <c r="G11" s="50">
        <v>84280.334802463898</v>
      </c>
      <c r="H11" s="50">
        <f t="shared" si="0"/>
        <v>84280.334802463898</v>
      </c>
    </row>
    <row r="12" spans="1:8" x14ac:dyDescent="0.25">
      <c r="B12" s="41">
        <v>9</v>
      </c>
      <c r="C12" s="41" t="s">
        <v>452</v>
      </c>
      <c r="D12" s="152" t="s">
        <v>314</v>
      </c>
      <c r="E12" s="41" t="s">
        <v>158</v>
      </c>
      <c r="F12" s="59">
        <v>4</v>
      </c>
      <c r="G12" s="50">
        <v>182.46600000000001</v>
      </c>
      <c r="H12" s="50">
        <f t="shared" si="0"/>
        <v>729.86400000000003</v>
      </c>
    </row>
    <row r="13" spans="1:8" ht="25.5" x14ac:dyDescent="0.25">
      <c r="B13" s="41">
        <v>10</v>
      </c>
      <c r="C13" s="41" t="s">
        <v>453</v>
      </c>
      <c r="D13" s="152" t="s">
        <v>315</v>
      </c>
      <c r="E13" s="41" t="s">
        <v>316</v>
      </c>
      <c r="F13" s="59">
        <v>4</v>
      </c>
      <c r="G13" s="50">
        <v>127.53</v>
      </c>
      <c r="H13" s="50">
        <f t="shared" si="0"/>
        <v>510.12</v>
      </c>
    </row>
    <row r="14" spans="1:8" x14ac:dyDescent="0.25">
      <c r="B14" s="41">
        <v>11</v>
      </c>
      <c r="C14" s="41" t="s">
        <v>420</v>
      </c>
      <c r="D14" s="152" t="s">
        <v>317</v>
      </c>
      <c r="E14" s="41" t="s">
        <v>250</v>
      </c>
      <c r="F14" s="59">
        <v>4</v>
      </c>
      <c r="G14" s="50">
        <v>127.54949999999999</v>
      </c>
      <c r="H14" s="50">
        <f t="shared" si="0"/>
        <v>510.19799999999998</v>
      </c>
    </row>
    <row r="15" spans="1:8" ht="25.5" x14ac:dyDescent="0.25">
      <c r="B15" s="41">
        <v>12</v>
      </c>
      <c r="C15" s="41" t="s">
        <v>454</v>
      </c>
      <c r="D15" s="152" t="s">
        <v>318</v>
      </c>
      <c r="E15" s="41" t="s">
        <v>158</v>
      </c>
      <c r="F15" s="59">
        <v>2</v>
      </c>
      <c r="G15" s="50">
        <v>3495.5103999999997</v>
      </c>
      <c r="H15" s="50">
        <f t="shared" si="0"/>
        <v>6991.0207999999993</v>
      </c>
    </row>
    <row r="16" spans="1:8" ht="25.5" x14ac:dyDescent="0.25">
      <c r="B16" s="41">
        <v>13</v>
      </c>
      <c r="C16" s="41" t="s">
        <v>455</v>
      </c>
      <c r="D16" s="152" t="s">
        <v>319</v>
      </c>
      <c r="E16" s="41" t="s">
        <v>158</v>
      </c>
      <c r="F16" s="59">
        <v>2</v>
      </c>
      <c r="G16" s="50">
        <v>3495.5103999999997</v>
      </c>
      <c r="H16" s="50">
        <f t="shared" si="0"/>
        <v>6991.0207999999993</v>
      </c>
    </row>
    <row r="17" spans="2:8" ht="25.5" x14ac:dyDescent="0.25">
      <c r="B17" s="41">
        <v>14</v>
      </c>
      <c r="C17" s="41" t="s">
        <v>456</v>
      </c>
      <c r="D17" s="152" t="s">
        <v>320</v>
      </c>
      <c r="E17" s="41" t="s">
        <v>316</v>
      </c>
      <c r="F17" s="59">
        <v>1</v>
      </c>
      <c r="G17" s="50">
        <v>1225.7833999999998</v>
      </c>
      <c r="H17" s="50">
        <f t="shared" si="0"/>
        <v>1225.7833999999998</v>
      </c>
    </row>
    <row r="18" spans="2:8" x14ac:dyDescent="0.25">
      <c r="B18" s="41">
        <v>15</v>
      </c>
      <c r="C18" s="41" t="s">
        <v>457</v>
      </c>
      <c r="D18" s="152" t="s">
        <v>321</v>
      </c>
      <c r="E18" s="41" t="s">
        <v>158</v>
      </c>
      <c r="F18" s="59">
        <v>2</v>
      </c>
      <c r="G18" s="50">
        <v>3495.5103999999997</v>
      </c>
      <c r="H18" s="50">
        <f t="shared" si="0"/>
        <v>6991.0207999999993</v>
      </c>
    </row>
    <row r="19" spans="2:8" ht="25.5" x14ac:dyDescent="0.25">
      <c r="B19" s="41">
        <v>16</v>
      </c>
      <c r="C19" s="41" t="s">
        <v>458</v>
      </c>
      <c r="D19" s="152" t="s">
        <v>459</v>
      </c>
      <c r="E19" s="41" t="s">
        <v>158</v>
      </c>
      <c r="F19" s="59">
        <v>2</v>
      </c>
      <c r="G19" s="50">
        <v>2940.3840000000005</v>
      </c>
      <c r="H19" s="50">
        <f t="shared" si="0"/>
        <v>5880.7680000000009</v>
      </c>
    </row>
    <row r="20" spans="2:8" ht="25.5" x14ac:dyDescent="0.25">
      <c r="B20" s="41">
        <v>17</v>
      </c>
      <c r="C20" s="41" t="s">
        <v>460</v>
      </c>
      <c r="D20" s="85" t="s">
        <v>461</v>
      </c>
      <c r="E20" s="41" t="s">
        <v>158</v>
      </c>
      <c r="F20" s="59">
        <v>2</v>
      </c>
      <c r="G20" s="50">
        <v>2093.12</v>
      </c>
      <c r="H20" s="50">
        <f t="shared" si="0"/>
        <v>4186.24</v>
      </c>
    </row>
    <row r="21" spans="2:8" ht="25.5" x14ac:dyDescent="0.25">
      <c r="B21" s="41">
        <v>18</v>
      </c>
      <c r="C21" s="41" t="s">
        <v>322</v>
      </c>
      <c r="D21" s="152" t="s">
        <v>323</v>
      </c>
      <c r="E21" s="41" t="s">
        <v>158</v>
      </c>
      <c r="F21" s="59">
        <v>4</v>
      </c>
      <c r="G21" s="50">
        <v>141.28559999999999</v>
      </c>
      <c r="H21" s="50">
        <f t="shared" si="0"/>
        <v>565.14239999999995</v>
      </c>
    </row>
    <row r="22" spans="2:8" x14ac:dyDescent="0.25">
      <c r="B22" s="41">
        <v>19</v>
      </c>
      <c r="C22" s="41" t="s">
        <v>462</v>
      </c>
      <c r="D22" s="152" t="s">
        <v>463</v>
      </c>
      <c r="E22" s="41" t="s">
        <v>250</v>
      </c>
      <c r="F22" s="59">
        <v>4</v>
      </c>
      <c r="G22" s="50">
        <v>141.26400000000001</v>
      </c>
      <c r="H22" s="50">
        <f t="shared" si="0"/>
        <v>565.05600000000004</v>
      </c>
    </row>
    <row r="23" spans="2:8" x14ac:dyDescent="0.25">
      <c r="B23" s="41">
        <v>20</v>
      </c>
      <c r="C23" s="41" t="s">
        <v>464</v>
      </c>
      <c r="D23" s="152" t="s">
        <v>465</v>
      </c>
      <c r="E23" s="41" t="s">
        <v>250</v>
      </c>
      <c r="F23" s="59">
        <v>4</v>
      </c>
      <c r="G23" s="50">
        <v>58.860000000000007</v>
      </c>
      <c r="H23" s="50">
        <f t="shared" si="0"/>
        <v>235.44000000000003</v>
      </c>
    </row>
    <row r="24" spans="2:8" x14ac:dyDescent="0.25">
      <c r="B24" s="41">
        <v>21</v>
      </c>
      <c r="C24" s="41" t="s">
        <v>466</v>
      </c>
      <c r="D24" s="152" t="s">
        <v>324</v>
      </c>
      <c r="E24" s="41" t="s">
        <v>158</v>
      </c>
      <c r="F24" s="59">
        <v>1</v>
      </c>
      <c r="G24" s="50">
        <v>810.10750304776695</v>
      </c>
      <c r="H24" s="50">
        <f t="shared" si="0"/>
        <v>810.10750304776695</v>
      </c>
    </row>
    <row r="25" spans="2:8" x14ac:dyDescent="0.25">
      <c r="B25" s="41">
        <v>22</v>
      </c>
      <c r="C25" s="41">
        <v>170.1</v>
      </c>
      <c r="D25" s="152" t="s">
        <v>325</v>
      </c>
      <c r="E25" s="41" t="s">
        <v>158</v>
      </c>
      <c r="F25" s="59">
        <v>1</v>
      </c>
      <c r="G25" s="50">
        <v>651.3770641693452</v>
      </c>
      <c r="H25" s="50">
        <f t="shared" si="0"/>
        <v>651.3770641693452</v>
      </c>
    </row>
    <row r="26" spans="2:8" ht="25.5" x14ac:dyDescent="0.25">
      <c r="B26" s="41">
        <v>23</v>
      </c>
      <c r="C26" s="41">
        <v>110.1</v>
      </c>
      <c r="D26" s="82" t="s">
        <v>470</v>
      </c>
      <c r="E26" s="41" t="s">
        <v>157</v>
      </c>
      <c r="F26" s="49">
        <v>1</v>
      </c>
      <c r="G26" s="50">
        <v>12400.760020512125</v>
      </c>
      <c r="H26" s="50">
        <f t="shared" si="0"/>
        <v>12400.760020512125</v>
      </c>
    </row>
    <row r="27" spans="2:8" ht="25.5" x14ac:dyDescent="0.25">
      <c r="B27" s="41">
        <v>24</v>
      </c>
      <c r="C27" s="34" t="s">
        <v>329</v>
      </c>
      <c r="D27" s="57" t="s">
        <v>471</v>
      </c>
      <c r="E27" s="41" t="s">
        <v>157</v>
      </c>
      <c r="F27" s="59">
        <v>1</v>
      </c>
      <c r="G27" s="50">
        <v>14125.841736784541</v>
      </c>
      <c r="H27" s="50">
        <f t="shared" si="0"/>
        <v>14125.841736784541</v>
      </c>
    </row>
    <row r="28" spans="2:8" x14ac:dyDescent="0.25">
      <c r="B28" s="41">
        <v>25</v>
      </c>
      <c r="C28" s="41">
        <v>17.100000000000001</v>
      </c>
      <c r="D28" s="152" t="s">
        <v>244</v>
      </c>
      <c r="E28" s="41" t="s">
        <v>222</v>
      </c>
      <c r="F28" s="59">
        <v>10</v>
      </c>
      <c r="G28" s="50">
        <v>258.22244052676297</v>
      </c>
      <c r="H28" s="50">
        <f t="shared" si="0"/>
        <v>2582.2244052676297</v>
      </c>
    </row>
    <row r="29" spans="2:8" x14ac:dyDescent="0.25">
      <c r="B29" s="41">
        <v>26</v>
      </c>
      <c r="C29" s="41">
        <v>18.100000000000001</v>
      </c>
      <c r="D29" s="152" t="s">
        <v>301</v>
      </c>
      <c r="E29" s="41" t="s">
        <v>222</v>
      </c>
      <c r="F29" s="59">
        <v>10</v>
      </c>
      <c r="G29" s="50">
        <v>72.887734862758151</v>
      </c>
      <c r="H29" s="50">
        <f t="shared" si="0"/>
        <v>728.87734862758157</v>
      </c>
    </row>
    <row r="30" spans="2:8" x14ac:dyDescent="0.25">
      <c r="B30" s="41">
        <v>27</v>
      </c>
      <c r="C30" s="41">
        <v>122.1</v>
      </c>
      <c r="D30" s="152" t="s">
        <v>302</v>
      </c>
      <c r="E30" s="41" t="s">
        <v>222</v>
      </c>
      <c r="F30" s="59">
        <v>20</v>
      </c>
      <c r="G30" s="50">
        <v>75.281771306660772</v>
      </c>
      <c r="H30" s="50">
        <f t="shared" si="0"/>
        <v>1505.6354261332153</v>
      </c>
    </row>
    <row r="31" spans="2:8" x14ac:dyDescent="0.25">
      <c r="B31" s="41">
        <v>28</v>
      </c>
      <c r="C31" s="41">
        <v>124.1</v>
      </c>
      <c r="D31" s="152" t="s">
        <v>303</v>
      </c>
      <c r="E31" s="41" t="s">
        <v>222</v>
      </c>
      <c r="F31" s="59">
        <v>10</v>
      </c>
      <c r="G31" s="50">
        <v>248.75177003681679</v>
      </c>
      <c r="H31" s="50">
        <f t="shared" si="0"/>
        <v>2487.5177003681679</v>
      </c>
    </row>
    <row r="32" spans="2:8" x14ac:dyDescent="0.25">
      <c r="B32" s="41">
        <v>29</v>
      </c>
      <c r="C32" s="41">
        <v>119.1</v>
      </c>
      <c r="D32" s="152" t="s">
        <v>326</v>
      </c>
      <c r="E32" s="41" t="s">
        <v>157</v>
      </c>
      <c r="F32" s="59">
        <v>2</v>
      </c>
      <c r="G32" s="50">
        <v>281.71814764841946</v>
      </c>
      <c r="H32" s="50">
        <f t="shared" si="0"/>
        <v>563.43629529683892</v>
      </c>
    </row>
    <row r="33" spans="2:8" x14ac:dyDescent="0.25">
      <c r="B33" s="41">
        <v>30</v>
      </c>
      <c r="C33" s="41">
        <v>136.1</v>
      </c>
      <c r="D33" s="152" t="s">
        <v>249</v>
      </c>
      <c r="E33" s="41" t="s">
        <v>222</v>
      </c>
      <c r="F33" s="59">
        <v>10</v>
      </c>
      <c r="G33" s="50">
        <v>75.002923647812892</v>
      </c>
      <c r="H33" s="50">
        <f t="shared" si="0"/>
        <v>750.02923647812895</v>
      </c>
    </row>
    <row r="34" spans="2:8" x14ac:dyDescent="0.25">
      <c r="B34" s="41">
        <v>31</v>
      </c>
      <c r="C34" s="41">
        <v>137.1</v>
      </c>
      <c r="D34" s="152" t="s">
        <v>304</v>
      </c>
      <c r="E34" s="41" t="s">
        <v>305</v>
      </c>
      <c r="F34" s="59">
        <v>5</v>
      </c>
      <c r="G34" s="50">
        <v>281.36521558197234</v>
      </c>
      <c r="H34" s="50">
        <f t="shared" si="0"/>
        <v>1406.8260779098616</v>
      </c>
    </row>
    <row r="35" spans="2:8" x14ac:dyDescent="0.25">
      <c r="B35" s="41">
        <v>32</v>
      </c>
      <c r="C35" s="41">
        <v>138.1</v>
      </c>
      <c r="D35" s="152" t="s">
        <v>306</v>
      </c>
      <c r="E35" s="41" t="s">
        <v>305</v>
      </c>
      <c r="F35" s="59">
        <v>8</v>
      </c>
      <c r="G35" s="50">
        <v>158.11743185527106</v>
      </c>
      <c r="H35" s="50">
        <f t="shared" si="0"/>
        <v>1264.9394548421685</v>
      </c>
    </row>
    <row r="36" spans="2:8" x14ac:dyDescent="0.25">
      <c r="B36" s="41">
        <v>33</v>
      </c>
      <c r="C36" s="41" t="s">
        <v>468</v>
      </c>
      <c r="D36" s="82" t="s">
        <v>469</v>
      </c>
      <c r="E36" s="41" t="s">
        <v>222</v>
      </c>
      <c r="F36" s="59">
        <v>10</v>
      </c>
      <c r="G36" s="50">
        <v>156.98399999999998</v>
      </c>
      <c r="H36" s="50">
        <f t="shared" si="0"/>
        <v>1569.8399999999997</v>
      </c>
    </row>
    <row r="37" spans="2:8" x14ac:dyDescent="0.25">
      <c r="B37" s="41">
        <v>34</v>
      </c>
      <c r="C37" s="41" t="s">
        <v>410</v>
      </c>
      <c r="D37" s="82" t="s">
        <v>428</v>
      </c>
      <c r="E37" s="41" t="s">
        <v>250</v>
      </c>
      <c r="F37" s="59">
        <v>2</v>
      </c>
      <c r="G37" s="50">
        <v>104.65600000000001</v>
      </c>
      <c r="H37" s="50">
        <f t="shared" si="0"/>
        <v>209.31200000000001</v>
      </c>
    </row>
    <row r="38" spans="2:8" ht="25.5" x14ac:dyDescent="0.25">
      <c r="B38" s="41">
        <v>35</v>
      </c>
      <c r="C38" s="41" t="s">
        <v>426</v>
      </c>
      <c r="D38" s="152" t="s">
        <v>427</v>
      </c>
      <c r="E38" s="41" t="s">
        <v>222</v>
      </c>
      <c r="F38" s="59">
        <v>7</v>
      </c>
      <c r="G38" s="50">
        <v>1080</v>
      </c>
      <c r="H38" s="50">
        <f t="shared" si="0"/>
        <v>7560</v>
      </c>
    </row>
    <row r="39" spans="2:8" x14ac:dyDescent="0.25">
      <c r="B39" s="41">
        <v>36</v>
      </c>
      <c r="C39" s="72">
        <v>133.1</v>
      </c>
      <c r="D39" s="152" t="s">
        <v>253</v>
      </c>
      <c r="E39" s="41" t="s">
        <v>157</v>
      </c>
      <c r="F39" s="59">
        <v>2</v>
      </c>
      <c r="G39" s="50">
        <v>60.758062728582523</v>
      </c>
      <c r="H39" s="50">
        <f t="shared" si="0"/>
        <v>121.51612545716505</v>
      </c>
    </row>
    <row r="40" spans="2:8" ht="15" customHeight="1" x14ac:dyDescent="0.25">
      <c r="B40" s="94" t="s">
        <v>74</v>
      </c>
      <c r="C40" s="450" t="s">
        <v>254</v>
      </c>
      <c r="D40" s="450"/>
      <c r="E40" s="450"/>
      <c r="F40" s="450"/>
      <c r="G40" s="450"/>
      <c r="H40" s="127">
        <f>SUM(H4:H39)</f>
        <v>205151.04483539457</v>
      </c>
    </row>
    <row r="41" spans="2:8" x14ac:dyDescent="0.25">
      <c r="B41" s="41" t="s">
        <v>75</v>
      </c>
      <c r="C41" s="446" t="s">
        <v>255</v>
      </c>
      <c r="D41" s="446"/>
      <c r="E41" s="446"/>
      <c r="F41" s="52" t="s">
        <v>227</v>
      </c>
      <c r="G41" s="53">
        <v>0.03</v>
      </c>
      <c r="H41" s="50">
        <f t="shared" ref="H41:H46" si="1">G41*$H$40</f>
        <v>6154.5313450618369</v>
      </c>
    </row>
    <row r="42" spans="2:8" x14ac:dyDescent="0.25">
      <c r="B42" s="41" t="s">
        <v>76</v>
      </c>
      <c r="C42" s="446" t="s">
        <v>256</v>
      </c>
      <c r="D42" s="446"/>
      <c r="E42" s="446"/>
      <c r="F42" s="52" t="s">
        <v>227</v>
      </c>
      <c r="G42" s="53">
        <v>0.03</v>
      </c>
      <c r="H42" s="50">
        <f t="shared" si="1"/>
        <v>6154.5313450618369</v>
      </c>
    </row>
    <row r="43" spans="2:8" ht="15" customHeight="1" x14ac:dyDescent="0.25">
      <c r="B43" s="41" t="s">
        <v>77</v>
      </c>
      <c r="C43" s="446" t="s">
        <v>257</v>
      </c>
      <c r="D43" s="446"/>
      <c r="E43" s="446"/>
      <c r="F43" s="52" t="s">
        <v>227</v>
      </c>
      <c r="G43" s="53">
        <v>0.03</v>
      </c>
      <c r="H43" s="50">
        <f t="shared" si="1"/>
        <v>6154.5313450618369</v>
      </c>
    </row>
    <row r="44" spans="2:8" x14ac:dyDescent="0.25">
      <c r="B44" s="41" t="s">
        <v>78</v>
      </c>
      <c r="C44" s="446" t="s">
        <v>258</v>
      </c>
      <c r="D44" s="446"/>
      <c r="E44" s="446"/>
      <c r="F44" s="52" t="s">
        <v>227</v>
      </c>
      <c r="G44" s="53">
        <v>0.04</v>
      </c>
      <c r="H44" s="50">
        <f t="shared" si="1"/>
        <v>8206.0417934157831</v>
      </c>
    </row>
    <row r="45" spans="2:8" x14ac:dyDescent="0.25">
      <c r="B45" s="41" t="s">
        <v>213</v>
      </c>
      <c r="C45" s="446" t="s">
        <v>259</v>
      </c>
      <c r="D45" s="446"/>
      <c r="E45" s="446"/>
      <c r="F45" s="52" t="s">
        <v>227</v>
      </c>
      <c r="G45" s="53">
        <v>0.02</v>
      </c>
      <c r="H45" s="50">
        <f t="shared" si="1"/>
        <v>4103.0208967078916</v>
      </c>
    </row>
    <row r="46" spans="2:8" x14ac:dyDescent="0.25">
      <c r="B46" s="41" t="s">
        <v>92</v>
      </c>
      <c r="C46" s="446" t="s">
        <v>260</v>
      </c>
      <c r="D46" s="446"/>
      <c r="E46" s="446"/>
      <c r="F46" s="52" t="s">
        <v>227</v>
      </c>
      <c r="G46" s="53">
        <v>0.1</v>
      </c>
      <c r="H46" s="50">
        <f t="shared" si="1"/>
        <v>20515.104483539457</v>
      </c>
    </row>
    <row r="47" spans="2:8" x14ac:dyDescent="0.25">
      <c r="B47" s="352" t="s">
        <v>93</v>
      </c>
      <c r="C47" s="451" t="s">
        <v>261</v>
      </c>
      <c r="D47" s="452"/>
      <c r="E47" s="453"/>
      <c r="F47" s="457" t="s">
        <v>144</v>
      </c>
      <c r="G47" s="458"/>
      <c r="H47" s="50">
        <f>'DSS labour'!N29</f>
        <v>22546.137864792683</v>
      </c>
    </row>
    <row r="48" spans="2:8" x14ac:dyDescent="0.25">
      <c r="B48" s="353"/>
      <c r="C48" s="454"/>
      <c r="D48" s="455"/>
      <c r="E48" s="456"/>
      <c r="F48" s="457" t="s">
        <v>145</v>
      </c>
      <c r="G48" s="458"/>
      <c r="H48" s="50">
        <f>'DSS labour'!O29</f>
        <v>23083.356389378088</v>
      </c>
    </row>
    <row r="49" spans="2:8" x14ac:dyDescent="0.25">
      <c r="B49" s="331" t="s">
        <v>94</v>
      </c>
      <c r="C49" s="355" t="s">
        <v>262</v>
      </c>
      <c r="D49" s="355"/>
      <c r="E49" s="355"/>
      <c r="F49" s="446" t="s">
        <v>144</v>
      </c>
      <c r="G49" s="446"/>
      <c r="H49" s="128">
        <f>SUM(H40:H47)</f>
        <v>278984.94390903588</v>
      </c>
    </row>
    <row r="50" spans="2:8" x14ac:dyDescent="0.25">
      <c r="B50" s="331"/>
      <c r="C50" s="355"/>
      <c r="D50" s="355"/>
      <c r="E50" s="355"/>
      <c r="F50" s="446" t="s">
        <v>145</v>
      </c>
      <c r="G50" s="446"/>
      <c r="H50" s="128">
        <f>SUM(H40:H46,H48)</f>
        <v>279522.1624336213</v>
      </c>
    </row>
  </sheetData>
  <mergeCells count="16">
    <mergeCell ref="B47:B48"/>
    <mergeCell ref="C47:E48"/>
    <mergeCell ref="F47:G47"/>
    <mergeCell ref="F48:G48"/>
    <mergeCell ref="B49:B50"/>
    <mergeCell ref="C49:E50"/>
    <mergeCell ref="F49:G49"/>
    <mergeCell ref="F50:G50"/>
    <mergeCell ref="D2:H2"/>
    <mergeCell ref="C44:E44"/>
    <mergeCell ref="C45:E45"/>
    <mergeCell ref="C46:E46"/>
    <mergeCell ref="C40:G40"/>
    <mergeCell ref="C41:E41"/>
    <mergeCell ref="C42:E42"/>
    <mergeCell ref="C43:E43"/>
  </mergeCells>
  <pageMargins left="0.7" right="0.7" top="0.75" bottom="0.75" header="0.3" footer="0.3"/>
  <pageSetup paperSize="9" scale="84" orientation="portrait" r:id="rId1"/>
  <rowBreaks count="1" manualBreakCount="1">
    <brk id="50" min="1" max="7"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50"/>
  <sheetViews>
    <sheetView zoomScaleNormal="100" workbookViewId="0"/>
  </sheetViews>
  <sheetFormatPr defaultRowHeight="15" x14ac:dyDescent="0.25"/>
  <cols>
    <col min="1" max="1" width="9.140625" style="46"/>
    <col min="2" max="2" width="5" style="46" bestFit="1" customWidth="1"/>
    <col min="3" max="3" width="6" style="54" customWidth="1"/>
    <col min="4" max="4" width="49.140625" style="46" customWidth="1"/>
    <col min="5" max="5" width="5.85546875" style="54" customWidth="1"/>
    <col min="6" max="6" width="5.5703125" style="46" customWidth="1"/>
    <col min="7" max="7" width="10.7109375" style="46" bestFit="1" customWidth="1"/>
    <col min="8" max="8" width="10" style="46" customWidth="1"/>
    <col min="9" max="16384" width="9.140625" style="46"/>
  </cols>
  <sheetData>
    <row r="2" spans="2:8" ht="49.5" customHeight="1" x14ac:dyDescent="0.25">
      <c r="C2" s="95"/>
      <c r="D2" s="447" t="s">
        <v>628</v>
      </c>
      <c r="E2" s="448"/>
      <c r="F2" s="448"/>
      <c r="G2" s="448"/>
      <c r="H2" s="449"/>
    </row>
    <row r="3" spans="2:8" ht="25.5" x14ac:dyDescent="0.25">
      <c r="B3" s="79" t="s">
        <v>114</v>
      </c>
      <c r="C3" s="79" t="s">
        <v>229</v>
      </c>
      <c r="D3" s="79" t="s">
        <v>230</v>
      </c>
      <c r="E3" s="79" t="s">
        <v>0</v>
      </c>
      <c r="F3" s="79" t="s">
        <v>107</v>
      </c>
      <c r="G3" s="79" t="s">
        <v>231</v>
      </c>
      <c r="H3" s="79" t="s">
        <v>232</v>
      </c>
    </row>
    <row r="4" spans="2:8" x14ac:dyDescent="0.25">
      <c r="B4" s="41">
        <v>1</v>
      </c>
      <c r="C4" s="41">
        <v>164.1</v>
      </c>
      <c r="D4" s="152" t="s">
        <v>308</v>
      </c>
      <c r="E4" s="41" t="s">
        <v>157</v>
      </c>
      <c r="F4" s="48">
        <v>2</v>
      </c>
      <c r="G4" s="50">
        <v>4754.7768663261377</v>
      </c>
      <c r="H4" s="50">
        <f t="shared" ref="H4:H39" si="0">F4*G4</f>
        <v>9509.5537326522754</v>
      </c>
    </row>
    <row r="5" spans="2:8" x14ac:dyDescent="0.25">
      <c r="B5" s="41">
        <v>2</v>
      </c>
      <c r="C5" s="41">
        <v>23.1</v>
      </c>
      <c r="D5" s="152" t="s">
        <v>309</v>
      </c>
      <c r="E5" s="41" t="s">
        <v>234</v>
      </c>
      <c r="F5" s="50">
        <v>0.2</v>
      </c>
      <c r="G5" s="50">
        <v>38308.971184750095</v>
      </c>
      <c r="H5" s="50">
        <f t="shared" si="0"/>
        <v>7661.7942369500197</v>
      </c>
    </row>
    <row r="6" spans="2:8" x14ac:dyDescent="0.25">
      <c r="B6" s="41">
        <v>3</v>
      </c>
      <c r="C6" s="41">
        <v>123.1</v>
      </c>
      <c r="D6" s="152" t="s">
        <v>310</v>
      </c>
      <c r="E6" s="41" t="s">
        <v>157</v>
      </c>
      <c r="F6" s="48">
        <v>6</v>
      </c>
      <c r="G6" s="50">
        <v>39.239582178876212</v>
      </c>
      <c r="H6" s="50">
        <f t="shared" si="0"/>
        <v>235.43749307325726</v>
      </c>
    </row>
    <row r="7" spans="2:8" x14ac:dyDescent="0.25">
      <c r="B7" s="41">
        <v>4</v>
      </c>
      <c r="C7" s="41">
        <v>101.1</v>
      </c>
      <c r="D7" s="152" t="s">
        <v>311</v>
      </c>
      <c r="E7" s="41" t="s">
        <v>157</v>
      </c>
      <c r="F7" s="48">
        <v>3</v>
      </c>
      <c r="G7" s="50">
        <v>154.69497662030849</v>
      </c>
      <c r="H7" s="50">
        <f t="shared" si="0"/>
        <v>464.08492986092551</v>
      </c>
    </row>
    <row r="8" spans="2:8" x14ac:dyDescent="0.25">
      <c r="B8" s="41">
        <v>5</v>
      </c>
      <c r="C8" s="41">
        <v>102.1</v>
      </c>
      <c r="D8" s="152" t="s">
        <v>312</v>
      </c>
      <c r="E8" s="41" t="s">
        <v>157</v>
      </c>
      <c r="F8" s="48">
        <v>3</v>
      </c>
      <c r="G8" s="50">
        <v>229.02385941322578</v>
      </c>
      <c r="H8" s="50">
        <f t="shared" si="0"/>
        <v>687.07157823967736</v>
      </c>
    </row>
    <row r="9" spans="2:8" x14ac:dyDescent="0.25">
      <c r="B9" s="41">
        <v>6</v>
      </c>
      <c r="C9" s="41">
        <v>4.0999999999999996</v>
      </c>
      <c r="D9" s="152" t="s">
        <v>450</v>
      </c>
      <c r="E9" s="41" t="s">
        <v>158</v>
      </c>
      <c r="F9" s="48">
        <v>1</v>
      </c>
      <c r="G9" s="50">
        <v>16189.192083570191</v>
      </c>
      <c r="H9" s="50">
        <f t="shared" si="0"/>
        <v>16189.192083570191</v>
      </c>
    </row>
    <row r="10" spans="2:8" x14ac:dyDescent="0.25">
      <c r="B10" s="41">
        <v>7</v>
      </c>
      <c r="C10" s="41">
        <v>104.1</v>
      </c>
      <c r="D10" s="152" t="s">
        <v>313</v>
      </c>
      <c r="E10" s="41" t="s">
        <v>157</v>
      </c>
      <c r="F10" s="48">
        <v>1</v>
      </c>
      <c r="G10" s="50">
        <v>2003.6613836898032</v>
      </c>
      <c r="H10" s="50">
        <f t="shared" si="0"/>
        <v>2003.6613836898032</v>
      </c>
    </row>
    <row r="11" spans="2:8" ht="25.5" x14ac:dyDescent="0.25">
      <c r="B11" s="41">
        <v>8</v>
      </c>
      <c r="C11" s="41">
        <v>188.2</v>
      </c>
      <c r="D11" s="42" t="s">
        <v>331</v>
      </c>
      <c r="E11" s="41" t="s">
        <v>157</v>
      </c>
      <c r="F11" s="48">
        <v>1</v>
      </c>
      <c r="G11" s="50">
        <v>106000</v>
      </c>
      <c r="H11" s="50">
        <f t="shared" si="0"/>
        <v>106000</v>
      </c>
    </row>
    <row r="12" spans="2:8" x14ac:dyDescent="0.25">
      <c r="B12" s="41">
        <v>9</v>
      </c>
      <c r="C12" s="41" t="s">
        <v>452</v>
      </c>
      <c r="D12" s="152" t="s">
        <v>314</v>
      </c>
      <c r="E12" s="41" t="s">
        <v>158</v>
      </c>
      <c r="F12" s="48">
        <v>4</v>
      </c>
      <c r="G12" s="50">
        <v>182.46600000000001</v>
      </c>
      <c r="H12" s="50">
        <f t="shared" si="0"/>
        <v>729.86400000000003</v>
      </c>
    </row>
    <row r="13" spans="2:8" ht="25.5" x14ac:dyDescent="0.25">
      <c r="B13" s="41">
        <v>10</v>
      </c>
      <c r="C13" s="41" t="s">
        <v>453</v>
      </c>
      <c r="D13" s="152" t="s">
        <v>315</v>
      </c>
      <c r="E13" s="41" t="s">
        <v>316</v>
      </c>
      <c r="F13" s="48">
        <v>4</v>
      </c>
      <c r="G13" s="50">
        <v>127.53</v>
      </c>
      <c r="H13" s="50">
        <f t="shared" si="0"/>
        <v>510.12</v>
      </c>
    </row>
    <row r="14" spans="2:8" x14ac:dyDescent="0.25">
      <c r="B14" s="41">
        <v>11</v>
      </c>
      <c r="C14" s="41" t="s">
        <v>420</v>
      </c>
      <c r="D14" s="152" t="s">
        <v>317</v>
      </c>
      <c r="E14" s="41" t="s">
        <v>250</v>
      </c>
      <c r="F14" s="48">
        <v>4</v>
      </c>
      <c r="G14" s="50">
        <v>127.54949999999999</v>
      </c>
      <c r="H14" s="50">
        <f t="shared" si="0"/>
        <v>510.19799999999998</v>
      </c>
    </row>
    <row r="15" spans="2:8" ht="25.5" x14ac:dyDescent="0.25">
      <c r="B15" s="41">
        <v>12</v>
      </c>
      <c r="C15" s="41" t="s">
        <v>454</v>
      </c>
      <c r="D15" s="152" t="s">
        <v>318</v>
      </c>
      <c r="E15" s="41" t="s">
        <v>158</v>
      </c>
      <c r="F15" s="48">
        <v>2</v>
      </c>
      <c r="G15" s="50">
        <v>3495.5103999999997</v>
      </c>
      <c r="H15" s="50">
        <f t="shared" si="0"/>
        <v>6991.0207999999993</v>
      </c>
    </row>
    <row r="16" spans="2:8" ht="25.5" x14ac:dyDescent="0.25">
      <c r="B16" s="41">
        <v>13</v>
      </c>
      <c r="C16" s="41" t="s">
        <v>455</v>
      </c>
      <c r="D16" s="152" t="s">
        <v>319</v>
      </c>
      <c r="E16" s="41" t="s">
        <v>158</v>
      </c>
      <c r="F16" s="48">
        <v>2</v>
      </c>
      <c r="G16" s="50">
        <v>3495.5103999999997</v>
      </c>
      <c r="H16" s="50">
        <f t="shared" si="0"/>
        <v>6991.0207999999993</v>
      </c>
    </row>
    <row r="17" spans="2:8" ht="25.5" x14ac:dyDescent="0.25">
      <c r="B17" s="41">
        <v>14</v>
      </c>
      <c r="C17" s="41" t="s">
        <v>456</v>
      </c>
      <c r="D17" s="152" t="s">
        <v>320</v>
      </c>
      <c r="E17" s="41" t="s">
        <v>316</v>
      </c>
      <c r="F17" s="48">
        <v>1</v>
      </c>
      <c r="G17" s="50">
        <v>1225.7833999999998</v>
      </c>
      <c r="H17" s="50">
        <f t="shared" si="0"/>
        <v>1225.7833999999998</v>
      </c>
    </row>
    <row r="18" spans="2:8" x14ac:dyDescent="0.25">
      <c r="B18" s="41">
        <v>15</v>
      </c>
      <c r="C18" s="41" t="s">
        <v>457</v>
      </c>
      <c r="D18" s="152" t="s">
        <v>321</v>
      </c>
      <c r="E18" s="41" t="s">
        <v>158</v>
      </c>
      <c r="F18" s="48">
        <v>2</v>
      </c>
      <c r="G18" s="50">
        <v>3495.5103999999997</v>
      </c>
      <c r="H18" s="50">
        <f t="shared" si="0"/>
        <v>6991.0207999999993</v>
      </c>
    </row>
    <row r="19" spans="2:8" ht="25.5" x14ac:dyDescent="0.25">
      <c r="B19" s="41">
        <v>16</v>
      </c>
      <c r="C19" s="41" t="s">
        <v>458</v>
      </c>
      <c r="D19" s="152" t="s">
        <v>459</v>
      </c>
      <c r="E19" s="41" t="s">
        <v>158</v>
      </c>
      <c r="F19" s="48">
        <v>2</v>
      </c>
      <c r="G19" s="50">
        <v>2940.3840000000005</v>
      </c>
      <c r="H19" s="50">
        <f t="shared" si="0"/>
        <v>5880.7680000000009</v>
      </c>
    </row>
    <row r="20" spans="2:8" ht="25.5" x14ac:dyDescent="0.25">
      <c r="B20" s="41">
        <v>17</v>
      </c>
      <c r="C20" s="41" t="s">
        <v>460</v>
      </c>
      <c r="D20" s="85" t="s">
        <v>461</v>
      </c>
      <c r="E20" s="41" t="s">
        <v>158</v>
      </c>
      <c r="F20" s="48">
        <v>2</v>
      </c>
      <c r="G20" s="50">
        <v>2093.12</v>
      </c>
      <c r="H20" s="50">
        <f t="shared" si="0"/>
        <v>4186.24</v>
      </c>
    </row>
    <row r="21" spans="2:8" ht="25.5" x14ac:dyDescent="0.25">
      <c r="B21" s="41">
        <v>18</v>
      </c>
      <c r="C21" s="41" t="s">
        <v>322</v>
      </c>
      <c r="D21" s="152" t="s">
        <v>323</v>
      </c>
      <c r="E21" s="41" t="s">
        <v>158</v>
      </c>
      <c r="F21" s="48">
        <v>4</v>
      </c>
      <c r="G21" s="50">
        <v>141.28559999999999</v>
      </c>
      <c r="H21" s="50">
        <f t="shared" si="0"/>
        <v>565.14239999999995</v>
      </c>
    </row>
    <row r="22" spans="2:8" x14ac:dyDescent="0.25">
      <c r="B22" s="41">
        <v>19</v>
      </c>
      <c r="C22" s="41" t="s">
        <v>462</v>
      </c>
      <c r="D22" s="152" t="s">
        <v>463</v>
      </c>
      <c r="E22" s="41" t="s">
        <v>250</v>
      </c>
      <c r="F22" s="48">
        <v>4</v>
      </c>
      <c r="G22" s="50">
        <v>141.26400000000001</v>
      </c>
      <c r="H22" s="50">
        <f t="shared" si="0"/>
        <v>565.05600000000004</v>
      </c>
    </row>
    <row r="23" spans="2:8" x14ac:dyDescent="0.25">
      <c r="B23" s="41">
        <v>20</v>
      </c>
      <c r="C23" s="41" t="s">
        <v>464</v>
      </c>
      <c r="D23" s="152" t="s">
        <v>465</v>
      </c>
      <c r="E23" s="41" t="s">
        <v>250</v>
      </c>
      <c r="F23" s="48">
        <v>4</v>
      </c>
      <c r="G23" s="50">
        <v>58.860000000000007</v>
      </c>
      <c r="H23" s="50">
        <f t="shared" si="0"/>
        <v>235.44000000000003</v>
      </c>
    </row>
    <row r="24" spans="2:8" x14ac:dyDescent="0.25">
      <c r="B24" s="41">
        <v>21</v>
      </c>
      <c r="C24" s="41" t="s">
        <v>466</v>
      </c>
      <c r="D24" s="152" t="s">
        <v>324</v>
      </c>
      <c r="E24" s="41" t="s">
        <v>158</v>
      </c>
      <c r="F24" s="48">
        <v>1</v>
      </c>
      <c r="G24" s="50">
        <v>810.10750304776695</v>
      </c>
      <c r="H24" s="50">
        <f t="shared" si="0"/>
        <v>810.10750304776695</v>
      </c>
    </row>
    <row r="25" spans="2:8" x14ac:dyDescent="0.25">
      <c r="B25" s="41">
        <v>22</v>
      </c>
      <c r="C25" s="41">
        <v>170.1</v>
      </c>
      <c r="D25" s="152" t="s">
        <v>325</v>
      </c>
      <c r="E25" s="41" t="s">
        <v>158</v>
      </c>
      <c r="F25" s="48">
        <v>1</v>
      </c>
      <c r="G25" s="50">
        <v>651.3770641693452</v>
      </c>
      <c r="H25" s="50">
        <f t="shared" si="0"/>
        <v>651.3770641693452</v>
      </c>
    </row>
    <row r="26" spans="2:8" ht="25.5" x14ac:dyDescent="0.25">
      <c r="B26" s="41">
        <v>23</v>
      </c>
      <c r="C26" s="41">
        <v>110.1</v>
      </c>
      <c r="D26" s="82" t="s">
        <v>470</v>
      </c>
      <c r="E26" s="41" t="s">
        <v>157</v>
      </c>
      <c r="F26" s="42">
        <v>1</v>
      </c>
      <c r="G26" s="50">
        <v>12400.760020512125</v>
      </c>
      <c r="H26" s="50">
        <f t="shared" si="0"/>
        <v>12400.760020512125</v>
      </c>
    </row>
    <row r="27" spans="2:8" ht="25.5" x14ac:dyDescent="0.25">
      <c r="B27" s="41">
        <v>24</v>
      </c>
      <c r="C27" s="84" t="s">
        <v>332</v>
      </c>
      <c r="D27" s="57" t="s">
        <v>472</v>
      </c>
      <c r="E27" s="41" t="s">
        <v>157</v>
      </c>
      <c r="F27" s="48">
        <v>1</v>
      </c>
      <c r="G27" s="50">
        <v>17657.815539265921</v>
      </c>
      <c r="H27" s="50">
        <f t="shared" si="0"/>
        <v>17657.815539265921</v>
      </c>
    </row>
    <row r="28" spans="2:8" x14ac:dyDescent="0.25">
      <c r="B28" s="41">
        <v>25</v>
      </c>
      <c r="C28" s="41">
        <v>17.100000000000001</v>
      </c>
      <c r="D28" s="42" t="s">
        <v>244</v>
      </c>
      <c r="E28" s="41" t="s">
        <v>222</v>
      </c>
      <c r="F28" s="48">
        <v>10</v>
      </c>
      <c r="G28" s="50">
        <v>258.22244052676297</v>
      </c>
      <c r="H28" s="50">
        <f t="shared" si="0"/>
        <v>2582.2244052676297</v>
      </c>
    </row>
    <row r="29" spans="2:8" x14ac:dyDescent="0.25">
      <c r="B29" s="41">
        <v>26</v>
      </c>
      <c r="C29" s="41">
        <v>18.100000000000001</v>
      </c>
      <c r="D29" s="42" t="s">
        <v>301</v>
      </c>
      <c r="E29" s="41" t="s">
        <v>222</v>
      </c>
      <c r="F29" s="48">
        <v>10</v>
      </c>
      <c r="G29" s="50">
        <v>72.887734862758151</v>
      </c>
      <c r="H29" s="50">
        <f t="shared" si="0"/>
        <v>728.87734862758157</v>
      </c>
    </row>
    <row r="30" spans="2:8" x14ac:dyDescent="0.25">
      <c r="B30" s="41">
        <v>27</v>
      </c>
      <c r="C30" s="41">
        <v>122.1</v>
      </c>
      <c r="D30" s="42" t="s">
        <v>302</v>
      </c>
      <c r="E30" s="41" t="s">
        <v>222</v>
      </c>
      <c r="F30" s="48">
        <v>20</v>
      </c>
      <c r="G30" s="50">
        <v>75.281771306660772</v>
      </c>
      <c r="H30" s="50">
        <f t="shared" si="0"/>
        <v>1505.6354261332153</v>
      </c>
    </row>
    <row r="31" spans="2:8" x14ac:dyDescent="0.25">
      <c r="B31" s="41">
        <v>28</v>
      </c>
      <c r="C31" s="41">
        <v>124.1</v>
      </c>
      <c r="D31" s="42" t="s">
        <v>303</v>
      </c>
      <c r="E31" s="41" t="s">
        <v>222</v>
      </c>
      <c r="F31" s="48">
        <v>10</v>
      </c>
      <c r="G31" s="50">
        <v>248.75177003681679</v>
      </c>
      <c r="H31" s="50">
        <f t="shared" si="0"/>
        <v>2487.5177003681679</v>
      </c>
    </row>
    <row r="32" spans="2:8" x14ac:dyDescent="0.25">
      <c r="B32" s="41">
        <v>29</v>
      </c>
      <c r="C32" s="41">
        <v>119.1</v>
      </c>
      <c r="D32" s="42" t="s">
        <v>326</v>
      </c>
      <c r="E32" s="41" t="s">
        <v>157</v>
      </c>
      <c r="F32" s="48">
        <v>2</v>
      </c>
      <c r="G32" s="50">
        <v>281.71814764841946</v>
      </c>
      <c r="H32" s="50">
        <f t="shared" si="0"/>
        <v>563.43629529683892</v>
      </c>
    </row>
    <row r="33" spans="2:8" x14ac:dyDescent="0.25">
      <c r="B33" s="41">
        <v>30</v>
      </c>
      <c r="C33" s="41">
        <v>136.1</v>
      </c>
      <c r="D33" s="42" t="s">
        <v>249</v>
      </c>
      <c r="E33" s="41" t="s">
        <v>222</v>
      </c>
      <c r="F33" s="48">
        <v>10</v>
      </c>
      <c r="G33" s="50">
        <v>75.002923647812892</v>
      </c>
      <c r="H33" s="50">
        <f t="shared" si="0"/>
        <v>750.02923647812895</v>
      </c>
    </row>
    <row r="34" spans="2:8" x14ac:dyDescent="0.25">
      <c r="B34" s="41">
        <v>31</v>
      </c>
      <c r="C34" s="41">
        <v>137.1</v>
      </c>
      <c r="D34" s="42" t="s">
        <v>304</v>
      </c>
      <c r="E34" s="41" t="s">
        <v>305</v>
      </c>
      <c r="F34" s="48">
        <v>5</v>
      </c>
      <c r="G34" s="50">
        <v>281.36521558197234</v>
      </c>
      <c r="H34" s="50">
        <f t="shared" si="0"/>
        <v>1406.8260779098616</v>
      </c>
    </row>
    <row r="35" spans="2:8" x14ac:dyDescent="0.25">
      <c r="B35" s="41">
        <v>32</v>
      </c>
      <c r="C35" s="41">
        <v>138.1</v>
      </c>
      <c r="D35" s="42" t="s">
        <v>306</v>
      </c>
      <c r="E35" s="41" t="s">
        <v>305</v>
      </c>
      <c r="F35" s="48">
        <v>8</v>
      </c>
      <c r="G35" s="50">
        <v>158.11743185527106</v>
      </c>
      <c r="H35" s="50">
        <f t="shared" si="0"/>
        <v>1264.9394548421685</v>
      </c>
    </row>
    <row r="36" spans="2:8" x14ac:dyDescent="0.25">
      <c r="B36" s="41">
        <v>33</v>
      </c>
      <c r="C36" s="41" t="s">
        <v>468</v>
      </c>
      <c r="D36" s="82" t="s">
        <v>469</v>
      </c>
      <c r="E36" s="41" t="s">
        <v>222</v>
      </c>
      <c r="F36" s="48">
        <v>10</v>
      </c>
      <c r="G36" s="50">
        <v>156.98399999999998</v>
      </c>
      <c r="H36" s="50">
        <f t="shared" si="0"/>
        <v>1569.8399999999997</v>
      </c>
    </row>
    <row r="37" spans="2:8" x14ac:dyDescent="0.25">
      <c r="B37" s="41">
        <v>34</v>
      </c>
      <c r="C37" s="41" t="s">
        <v>410</v>
      </c>
      <c r="D37" s="82" t="s">
        <v>428</v>
      </c>
      <c r="E37" s="41" t="s">
        <v>250</v>
      </c>
      <c r="F37" s="48">
        <v>2</v>
      </c>
      <c r="G37" s="50">
        <v>104.65600000000001</v>
      </c>
      <c r="H37" s="50">
        <f t="shared" si="0"/>
        <v>209.31200000000001</v>
      </c>
    </row>
    <row r="38" spans="2:8" ht="25.5" x14ac:dyDescent="0.25">
      <c r="B38" s="41">
        <v>35</v>
      </c>
      <c r="C38" s="41" t="s">
        <v>426</v>
      </c>
      <c r="D38" s="152" t="s">
        <v>427</v>
      </c>
      <c r="E38" s="41" t="s">
        <v>157</v>
      </c>
      <c r="F38" s="48">
        <v>7</v>
      </c>
      <c r="G38" s="50">
        <v>1080</v>
      </c>
      <c r="H38" s="50">
        <f>F38*G38</f>
        <v>7560</v>
      </c>
    </row>
    <row r="39" spans="2:8" x14ac:dyDescent="0.25">
      <c r="B39" s="41">
        <v>36</v>
      </c>
      <c r="C39" s="72">
        <v>133.1</v>
      </c>
      <c r="D39" s="42" t="s">
        <v>253</v>
      </c>
      <c r="E39" s="41" t="s">
        <v>157</v>
      </c>
      <c r="F39" s="48">
        <v>2</v>
      </c>
      <c r="G39" s="50">
        <v>60.758062728582523</v>
      </c>
      <c r="H39" s="50">
        <f t="shared" si="0"/>
        <v>121.51612545716505</v>
      </c>
    </row>
    <row r="40" spans="2:8" ht="15" customHeight="1" x14ac:dyDescent="0.25">
      <c r="B40" s="94" t="s">
        <v>74</v>
      </c>
      <c r="C40" s="450" t="s">
        <v>254</v>
      </c>
      <c r="D40" s="450"/>
      <c r="E40" s="450"/>
      <c r="F40" s="450"/>
      <c r="G40" s="450"/>
      <c r="H40" s="127">
        <f>SUM(H4:H39)</f>
        <v>230402.68383541203</v>
      </c>
    </row>
    <row r="41" spans="2:8" x14ac:dyDescent="0.25">
      <c r="B41" s="41" t="s">
        <v>75</v>
      </c>
      <c r="C41" s="446" t="s">
        <v>255</v>
      </c>
      <c r="D41" s="446"/>
      <c r="E41" s="446"/>
      <c r="F41" s="52" t="s">
        <v>227</v>
      </c>
      <c r="G41" s="53">
        <v>0.03</v>
      </c>
      <c r="H41" s="50">
        <f t="shared" ref="H41:H46" si="1">G41*$H$40</f>
        <v>6912.080515062361</v>
      </c>
    </row>
    <row r="42" spans="2:8" x14ac:dyDescent="0.25">
      <c r="B42" s="41" t="s">
        <v>76</v>
      </c>
      <c r="C42" s="446" t="s">
        <v>256</v>
      </c>
      <c r="D42" s="446"/>
      <c r="E42" s="446"/>
      <c r="F42" s="52" t="s">
        <v>227</v>
      </c>
      <c r="G42" s="53">
        <v>0.03</v>
      </c>
      <c r="H42" s="50">
        <f t="shared" si="1"/>
        <v>6912.080515062361</v>
      </c>
    </row>
    <row r="43" spans="2:8" ht="15" customHeight="1" x14ac:dyDescent="0.25">
      <c r="B43" s="41" t="s">
        <v>77</v>
      </c>
      <c r="C43" s="446" t="s">
        <v>257</v>
      </c>
      <c r="D43" s="446"/>
      <c r="E43" s="446"/>
      <c r="F43" s="52" t="s">
        <v>227</v>
      </c>
      <c r="G43" s="53">
        <v>0.03</v>
      </c>
      <c r="H43" s="50">
        <f t="shared" si="1"/>
        <v>6912.080515062361</v>
      </c>
    </row>
    <row r="44" spans="2:8" x14ac:dyDescent="0.25">
      <c r="B44" s="41" t="s">
        <v>78</v>
      </c>
      <c r="C44" s="446" t="s">
        <v>258</v>
      </c>
      <c r="D44" s="446"/>
      <c r="E44" s="446"/>
      <c r="F44" s="52" t="s">
        <v>227</v>
      </c>
      <c r="G44" s="53">
        <v>0.04</v>
      </c>
      <c r="H44" s="50">
        <f t="shared" si="1"/>
        <v>9216.1073534164807</v>
      </c>
    </row>
    <row r="45" spans="2:8" x14ac:dyDescent="0.25">
      <c r="B45" s="41" t="s">
        <v>213</v>
      </c>
      <c r="C45" s="446" t="s">
        <v>259</v>
      </c>
      <c r="D45" s="446"/>
      <c r="E45" s="446"/>
      <c r="F45" s="52" t="s">
        <v>227</v>
      </c>
      <c r="G45" s="53">
        <v>0.02</v>
      </c>
      <c r="H45" s="50">
        <f t="shared" si="1"/>
        <v>4608.0536767082403</v>
      </c>
    </row>
    <row r="46" spans="2:8" x14ac:dyDescent="0.25">
      <c r="B46" s="41" t="s">
        <v>92</v>
      </c>
      <c r="C46" s="446" t="s">
        <v>260</v>
      </c>
      <c r="D46" s="446"/>
      <c r="E46" s="446"/>
      <c r="F46" s="52" t="s">
        <v>227</v>
      </c>
      <c r="G46" s="53">
        <v>0.1</v>
      </c>
      <c r="H46" s="50">
        <f t="shared" si="1"/>
        <v>23040.268383541203</v>
      </c>
    </row>
    <row r="47" spans="2:8" x14ac:dyDescent="0.25">
      <c r="B47" s="352" t="s">
        <v>93</v>
      </c>
      <c r="C47" s="451" t="s">
        <v>261</v>
      </c>
      <c r="D47" s="452"/>
      <c r="E47" s="453"/>
      <c r="F47" s="457" t="s">
        <v>144</v>
      </c>
      <c r="G47" s="458"/>
      <c r="H47" s="50">
        <f>'DSS labour'!Q29</f>
        <v>22546.137864792683</v>
      </c>
    </row>
    <row r="48" spans="2:8" x14ac:dyDescent="0.25">
      <c r="B48" s="353"/>
      <c r="C48" s="454"/>
      <c r="D48" s="455"/>
      <c r="E48" s="456"/>
      <c r="F48" s="457" t="s">
        <v>145</v>
      </c>
      <c r="G48" s="458"/>
      <c r="H48" s="50">
        <f>'DSS labour'!R29</f>
        <v>23083.356389378088</v>
      </c>
    </row>
    <row r="49" spans="2:8" x14ac:dyDescent="0.25">
      <c r="B49" s="331" t="s">
        <v>94</v>
      </c>
      <c r="C49" s="355" t="s">
        <v>262</v>
      </c>
      <c r="D49" s="355"/>
      <c r="E49" s="355"/>
      <c r="F49" s="446" t="s">
        <v>144</v>
      </c>
      <c r="G49" s="446"/>
      <c r="H49" s="128">
        <f>SUM(H40:H47)</f>
        <v>310549.49265905767</v>
      </c>
    </row>
    <row r="50" spans="2:8" x14ac:dyDescent="0.25">
      <c r="B50" s="331"/>
      <c r="C50" s="355"/>
      <c r="D50" s="355"/>
      <c r="E50" s="355"/>
      <c r="F50" s="446" t="s">
        <v>145</v>
      </c>
      <c r="G50" s="446"/>
      <c r="H50" s="128">
        <f>SUM(H40:H46,H48)</f>
        <v>311086.71118364308</v>
      </c>
    </row>
  </sheetData>
  <mergeCells count="16">
    <mergeCell ref="B47:B48"/>
    <mergeCell ref="C47:E48"/>
    <mergeCell ref="F47:G47"/>
    <mergeCell ref="F48:G48"/>
    <mergeCell ref="B49:B50"/>
    <mergeCell ref="C49:E50"/>
    <mergeCell ref="F49:G49"/>
    <mergeCell ref="F50:G50"/>
    <mergeCell ref="D2:H2"/>
    <mergeCell ref="C44:E44"/>
    <mergeCell ref="C45:E45"/>
    <mergeCell ref="C46:E46"/>
    <mergeCell ref="C40:G40"/>
    <mergeCell ref="C41:E41"/>
    <mergeCell ref="C42:E42"/>
    <mergeCell ref="C43:E43"/>
  </mergeCells>
  <pageMargins left="0.7" right="0.7" top="0.75" bottom="0.75" header="0.3" footer="0.3"/>
  <pageSetup paperSize="9" scale="84" orientation="portrait" r:id="rId1"/>
  <rowBreaks count="1" manualBreakCount="1">
    <brk id="50" min="1" max="7"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50"/>
  <sheetViews>
    <sheetView zoomScaleNormal="100" workbookViewId="0"/>
  </sheetViews>
  <sheetFormatPr defaultRowHeight="15" x14ac:dyDescent="0.25"/>
  <cols>
    <col min="1" max="1" width="9.140625" style="46"/>
    <col min="2" max="2" width="5" style="46" bestFit="1" customWidth="1"/>
    <col min="3" max="3" width="6" style="54" customWidth="1"/>
    <col min="4" max="4" width="49.140625" style="46" customWidth="1"/>
    <col min="5" max="5" width="5.85546875" style="54" customWidth="1"/>
    <col min="6" max="6" width="5.5703125" style="46" customWidth="1"/>
    <col min="7" max="7" width="10.7109375" style="46" bestFit="1" customWidth="1"/>
    <col min="8" max="8" width="10" style="46" customWidth="1"/>
    <col min="9" max="16384" width="9.140625" style="46"/>
  </cols>
  <sheetData>
    <row r="2" spans="2:8" ht="49.5" customHeight="1" x14ac:dyDescent="0.25">
      <c r="C2" s="95"/>
      <c r="D2" s="447" t="s">
        <v>629</v>
      </c>
      <c r="E2" s="448"/>
      <c r="F2" s="448"/>
      <c r="G2" s="448"/>
      <c r="H2" s="449"/>
    </row>
    <row r="3" spans="2:8" ht="25.5" x14ac:dyDescent="0.25">
      <c r="B3" s="79" t="s">
        <v>114</v>
      </c>
      <c r="C3" s="79" t="s">
        <v>229</v>
      </c>
      <c r="D3" s="79" t="s">
        <v>230</v>
      </c>
      <c r="E3" s="79" t="s">
        <v>0</v>
      </c>
      <c r="F3" s="79" t="s">
        <v>107</v>
      </c>
      <c r="G3" s="79" t="s">
        <v>231</v>
      </c>
      <c r="H3" s="79" t="s">
        <v>232</v>
      </c>
    </row>
    <row r="4" spans="2:8" x14ac:dyDescent="0.25">
      <c r="B4" s="41">
        <v>1</v>
      </c>
      <c r="C4" s="41">
        <v>164.1</v>
      </c>
      <c r="D4" s="152" t="s">
        <v>308</v>
      </c>
      <c r="E4" s="41" t="s">
        <v>157</v>
      </c>
      <c r="F4" s="48">
        <v>2</v>
      </c>
      <c r="G4" s="50">
        <v>4754.7768663261377</v>
      </c>
      <c r="H4" s="50">
        <f t="shared" ref="H4:H39" si="0">F4*G4</f>
        <v>9509.5537326522754</v>
      </c>
    </row>
    <row r="5" spans="2:8" x14ac:dyDescent="0.25">
      <c r="B5" s="41">
        <v>2</v>
      </c>
      <c r="C5" s="41">
        <v>23.1</v>
      </c>
      <c r="D5" s="152" t="s">
        <v>309</v>
      </c>
      <c r="E5" s="41" t="s">
        <v>234</v>
      </c>
      <c r="F5" s="50">
        <v>0.2</v>
      </c>
      <c r="G5" s="50">
        <v>38308.971184750095</v>
      </c>
      <c r="H5" s="50">
        <f t="shared" si="0"/>
        <v>7661.7942369500197</v>
      </c>
    </row>
    <row r="6" spans="2:8" x14ac:dyDescent="0.25">
      <c r="B6" s="41">
        <v>3</v>
      </c>
      <c r="C6" s="41">
        <v>123.1</v>
      </c>
      <c r="D6" s="152" t="s">
        <v>310</v>
      </c>
      <c r="E6" s="41" t="s">
        <v>157</v>
      </c>
      <c r="F6" s="48">
        <v>6</v>
      </c>
      <c r="G6" s="50">
        <v>39.239582178876212</v>
      </c>
      <c r="H6" s="50">
        <f t="shared" si="0"/>
        <v>235.43749307325726</v>
      </c>
    </row>
    <row r="7" spans="2:8" x14ac:dyDescent="0.25">
      <c r="B7" s="41">
        <v>4</v>
      </c>
      <c r="C7" s="41">
        <v>101.1</v>
      </c>
      <c r="D7" s="152" t="s">
        <v>311</v>
      </c>
      <c r="E7" s="41" t="s">
        <v>157</v>
      </c>
      <c r="F7" s="48">
        <v>3</v>
      </c>
      <c r="G7" s="50">
        <v>154.69497662030849</v>
      </c>
      <c r="H7" s="50">
        <f t="shared" si="0"/>
        <v>464.08492986092551</v>
      </c>
    </row>
    <row r="8" spans="2:8" x14ac:dyDescent="0.25">
      <c r="B8" s="41">
        <v>5</v>
      </c>
      <c r="C8" s="41">
        <v>102.1</v>
      </c>
      <c r="D8" s="152" t="s">
        <v>312</v>
      </c>
      <c r="E8" s="41" t="s">
        <v>157</v>
      </c>
      <c r="F8" s="48">
        <v>3</v>
      </c>
      <c r="G8" s="50">
        <v>229.02385941322578</v>
      </c>
      <c r="H8" s="50">
        <f t="shared" si="0"/>
        <v>687.07157823967736</v>
      </c>
    </row>
    <row r="9" spans="2:8" x14ac:dyDescent="0.25">
      <c r="B9" s="41">
        <v>6</v>
      </c>
      <c r="C9" s="41">
        <v>4.0999999999999996</v>
      </c>
      <c r="D9" s="152" t="s">
        <v>450</v>
      </c>
      <c r="E9" s="41" t="s">
        <v>158</v>
      </c>
      <c r="F9" s="48">
        <v>1</v>
      </c>
      <c r="G9" s="50">
        <v>16189.192083570191</v>
      </c>
      <c r="H9" s="50">
        <f t="shared" si="0"/>
        <v>16189.192083570191</v>
      </c>
    </row>
    <row r="10" spans="2:8" x14ac:dyDescent="0.25">
      <c r="B10" s="41">
        <v>7</v>
      </c>
      <c r="C10" s="41">
        <v>104.1</v>
      </c>
      <c r="D10" s="152" t="s">
        <v>313</v>
      </c>
      <c r="E10" s="41" t="s">
        <v>157</v>
      </c>
      <c r="F10" s="48">
        <v>1</v>
      </c>
      <c r="G10" s="50">
        <v>2003.6613836898032</v>
      </c>
      <c r="H10" s="50">
        <f t="shared" si="0"/>
        <v>2003.6613836898032</v>
      </c>
    </row>
    <row r="11" spans="2:8" ht="25.5" x14ac:dyDescent="0.25">
      <c r="B11" s="41">
        <v>8</v>
      </c>
      <c r="C11" s="41">
        <v>187.3</v>
      </c>
      <c r="D11" s="42" t="s">
        <v>334</v>
      </c>
      <c r="E11" s="41" t="s">
        <v>157</v>
      </c>
      <c r="F11" s="48">
        <v>1</v>
      </c>
      <c r="G11" s="50">
        <v>175461.85164613422</v>
      </c>
      <c r="H11" s="50">
        <f t="shared" si="0"/>
        <v>175461.85164613422</v>
      </c>
    </row>
    <row r="12" spans="2:8" x14ac:dyDescent="0.25">
      <c r="B12" s="41">
        <v>9</v>
      </c>
      <c r="C12" s="41" t="s">
        <v>452</v>
      </c>
      <c r="D12" s="152" t="s">
        <v>314</v>
      </c>
      <c r="E12" s="41" t="s">
        <v>158</v>
      </c>
      <c r="F12" s="48">
        <v>4</v>
      </c>
      <c r="G12" s="50">
        <v>182.46600000000001</v>
      </c>
      <c r="H12" s="50">
        <f t="shared" si="0"/>
        <v>729.86400000000003</v>
      </c>
    </row>
    <row r="13" spans="2:8" ht="25.5" x14ac:dyDescent="0.25">
      <c r="B13" s="41">
        <v>10</v>
      </c>
      <c r="C13" s="41" t="s">
        <v>453</v>
      </c>
      <c r="D13" s="152" t="s">
        <v>315</v>
      </c>
      <c r="E13" s="41" t="s">
        <v>316</v>
      </c>
      <c r="F13" s="48">
        <v>4</v>
      </c>
      <c r="G13" s="50">
        <v>127.53</v>
      </c>
      <c r="H13" s="50">
        <f t="shared" si="0"/>
        <v>510.12</v>
      </c>
    </row>
    <row r="14" spans="2:8" x14ac:dyDescent="0.25">
      <c r="B14" s="41">
        <v>11</v>
      </c>
      <c r="C14" s="41" t="s">
        <v>420</v>
      </c>
      <c r="D14" s="152" t="s">
        <v>317</v>
      </c>
      <c r="E14" s="41" t="s">
        <v>250</v>
      </c>
      <c r="F14" s="48">
        <v>4</v>
      </c>
      <c r="G14" s="50">
        <v>127.54949999999999</v>
      </c>
      <c r="H14" s="50">
        <f t="shared" si="0"/>
        <v>510.19799999999998</v>
      </c>
    </row>
    <row r="15" spans="2:8" ht="25.5" x14ac:dyDescent="0.25">
      <c r="B15" s="41">
        <v>12</v>
      </c>
      <c r="C15" s="41" t="s">
        <v>454</v>
      </c>
      <c r="D15" s="152" t="s">
        <v>318</v>
      </c>
      <c r="E15" s="41" t="s">
        <v>158</v>
      </c>
      <c r="F15" s="48">
        <v>2</v>
      </c>
      <c r="G15" s="50">
        <v>3495.5103999999997</v>
      </c>
      <c r="H15" s="50">
        <f t="shared" si="0"/>
        <v>6991.0207999999993</v>
      </c>
    </row>
    <row r="16" spans="2:8" ht="15" customHeight="1" x14ac:dyDescent="0.25">
      <c r="B16" s="41">
        <v>13</v>
      </c>
      <c r="C16" s="41" t="s">
        <v>455</v>
      </c>
      <c r="D16" s="152" t="s">
        <v>319</v>
      </c>
      <c r="E16" s="41" t="s">
        <v>158</v>
      </c>
      <c r="F16" s="48">
        <v>2</v>
      </c>
      <c r="G16" s="50">
        <v>3495.5103999999997</v>
      </c>
      <c r="H16" s="50">
        <f t="shared" si="0"/>
        <v>6991.0207999999993</v>
      </c>
    </row>
    <row r="17" spans="2:8" ht="25.5" x14ac:dyDescent="0.25">
      <c r="B17" s="41">
        <v>14</v>
      </c>
      <c r="C17" s="41" t="s">
        <v>456</v>
      </c>
      <c r="D17" s="152" t="s">
        <v>320</v>
      </c>
      <c r="E17" s="41" t="s">
        <v>316</v>
      </c>
      <c r="F17" s="48">
        <v>1</v>
      </c>
      <c r="G17" s="50">
        <v>1225.7833999999998</v>
      </c>
      <c r="H17" s="50">
        <f t="shared" si="0"/>
        <v>1225.7833999999998</v>
      </c>
    </row>
    <row r="18" spans="2:8" x14ac:dyDescent="0.25">
      <c r="B18" s="41">
        <v>15</v>
      </c>
      <c r="C18" s="41" t="s">
        <v>457</v>
      </c>
      <c r="D18" s="152" t="s">
        <v>321</v>
      </c>
      <c r="E18" s="41" t="s">
        <v>158</v>
      </c>
      <c r="F18" s="48">
        <v>2</v>
      </c>
      <c r="G18" s="50">
        <v>3495.5103999999997</v>
      </c>
      <c r="H18" s="50">
        <f t="shared" si="0"/>
        <v>6991.0207999999993</v>
      </c>
    </row>
    <row r="19" spans="2:8" ht="25.5" x14ac:dyDescent="0.25">
      <c r="B19" s="41">
        <v>16</v>
      </c>
      <c r="C19" s="41" t="s">
        <v>458</v>
      </c>
      <c r="D19" s="152" t="s">
        <v>459</v>
      </c>
      <c r="E19" s="41" t="s">
        <v>158</v>
      </c>
      <c r="F19" s="48">
        <v>2</v>
      </c>
      <c r="G19" s="50">
        <v>2940.3840000000005</v>
      </c>
      <c r="H19" s="50">
        <f t="shared" si="0"/>
        <v>5880.7680000000009</v>
      </c>
    </row>
    <row r="20" spans="2:8" ht="25.5" x14ac:dyDescent="0.25">
      <c r="B20" s="41">
        <v>17</v>
      </c>
      <c r="C20" s="41" t="s">
        <v>460</v>
      </c>
      <c r="D20" s="85" t="s">
        <v>461</v>
      </c>
      <c r="E20" s="41" t="s">
        <v>158</v>
      </c>
      <c r="F20" s="48">
        <v>2</v>
      </c>
      <c r="G20" s="50">
        <v>2093.12</v>
      </c>
      <c r="H20" s="50">
        <f t="shared" si="0"/>
        <v>4186.24</v>
      </c>
    </row>
    <row r="21" spans="2:8" ht="25.5" x14ac:dyDescent="0.25">
      <c r="B21" s="41">
        <v>18</v>
      </c>
      <c r="C21" s="41" t="s">
        <v>322</v>
      </c>
      <c r="D21" s="152" t="s">
        <v>323</v>
      </c>
      <c r="E21" s="41" t="s">
        <v>158</v>
      </c>
      <c r="F21" s="48">
        <v>4</v>
      </c>
      <c r="G21" s="50">
        <v>141.28559999999999</v>
      </c>
      <c r="H21" s="50">
        <f t="shared" si="0"/>
        <v>565.14239999999995</v>
      </c>
    </row>
    <row r="22" spans="2:8" x14ac:dyDescent="0.25">
      <c r="B22" s="41">
        <v>19</v>
      </c>
      <c r="C22" s="41" t="s">
        <v>462</v>
      </c>
      <c r="D22" s="152" t="s">
        <v>463</v>
      </c>
      <c r="E22" s="41" t="s">
        <v>250</v>
      </c>
      <c r="F22" s="48">
        <v>4</v>
      </c>
      <c r="G22" s="50">
        <v>141.26400000000001</v>
      </c>
      <c r="H22" s="50">
        <f t="shared" si="0"/>
        <v>565.05600000000004</v>
      </c>
    </row>
    <row r="23" spans="2:8" x14ac:dyDescent="0.25">
      <c r="B23" s="41">
        <v>20</v>
      </c>
      <c r="C23" s="41" t="s">
        <v>464</v>
      </c>
      <c r="D23" s="152" t="s">
        <v>465</v>
      </c>
      <c r="E23" s="41" t="s">
        <v>250</v>
      </c>
      <c r="F23" s="48">
        <v>4</v>
      </c>
      <c r="G23" s="50">
        <v>58.860000000000007</v>
      </c>
      <c r="H23" s="50">
        <f t="shared" si="0"/>
        <v>235.44000000000003</v>
      </c>
    </row>
    <row r="24" spans="2:8" x14ac:dyDescent="0.25">
      <c r="B24" s="41">
        <v>21</v>
      </c>
      <c r="C24" s="41" t="s">
        <v>466</v>
      </c>
      <c r="D24" s="152" t="s">
        <v>324</v>
      </c>
      <c r="E24" s="41" t="s">
        <v>158</v>
      </c>
      <c r="F24" s="48">
        <v>1</v>
      </c>
      <c r="G24" s="50">
        <v>810.10750304776695</v>
      </c>
      <c r="H24" s="50">
        <f t="shared" si="0"/>
        <v>810.10750304776695</v>
      </c>
    </row>
    <row r="25" spans="2:8" x14ac:dyDescent="0.25">
      <c r="B25" s="41">
        <v>22</v>
      </c>
      <c r="C25" s="41">
        <v>170.1</v>
      </c>
      <c r="D25" s="152" t="s">
        <v>325</v>
      </c>
      <c r="E25" s="41" t="s">
        <v>158</v>
      </c>
      <c r="F25" s="48">
        <v>1</v>
      </c>
      <c r="G25" s="50">
        <v>651.3770641693452</v>
      </c>
      <c r="H25" s="50">
        <f t="shared" si="0"/>
        <v>651.3770641693452</v>
      </c>
    </row>
    <row r="26" spans="2:8" ht="25.5" x14ac:dyDescent="0.25">
      <c r="B26" s="41">
        <v>23</v>
      </c>
      <c r="C26" s="41">
        <v>109.1</v>
      </c>
      <c r="D26" s="82" t="s">
        <v>473</v>
      </c>
      <c r="E26" s="41" t="s">
        <v>157</v>
      </c>
      <c r="F26" s="42">
        <v>1</v>
      </c>
      <c r="G26" s="50">
        <v>11360.645072509882</v>
      </c>
      <c r="H26" s="50">
        <f t="shared" si="0"/>
        <v>11360.645072509882</v>
      </c>
    </row>
    <row r="27" spans="2:8" ht="25.5" x14ac:dyDescent="0.25">
      <c r="B27" s="41">
        <v>24</v>
      </c>
      <c r="C27" s="34" t="s">
        <v>335</v>
      </c>
      <c r="D27" s="57" t="s">
        <v>474</v>
      </c>
      <c r="E27" s="41" t="s">
        <v>157</v>
      </c>
      <c r="F27" s="48">
        <v>1</v>
      </c>
      <c r="G27" s="50">
        <v>35315.528404874793</v>
      </c>
      <c r="H27" s="50">
        <f t="shared" si="0"/>
        <v>35315.528404874793</v>
      </c>
    </row>
    <row r="28" spans="2:8" x14ac:dyDescent="0.25">
      <c r="B28" s="41">
        <v>25</v>
      </c>
      <c r="C28" s="41">
        <v>17.100000000000001</v>
      </c>
      <c r="D28" s="42" t="s">
        <v>244</v>
      </c>
      <c r="E28" s="41" t="s">
        <v>222</v>
      </c>
      <c r="F28" s="48">
        <v>10</v>
      </c>
      <c r="G28" s="50">
        <v>258.22244052676297</v>
      </c>
      <c r="H28" s="50">
        <f t="shared" si="0"/>
        <v>2582.2244052676297</v>
      </c>
    </row>
    <row r="29" spans="2:8" x14ac:dyDescent="0.25">
      <c r="B29" s="41">
        <v>26</v>
      </c>
      <c r="C29" s="41">
        <v>18.100000000000001</v>
      </c>
      <c r="D29" s="42" t="s">
        <v>301</v>
      </c>
      <c r="E29" s="41" t="s">
        <v>222</v>
      </c>
      <c r="F29" s="48">
        <v>10</v>
      </c>
      <c r="G29" s="50">
        <v>72.887734862758151</v>
      </c>
      <c r="H29" s="50">
        <f t="shared" si="0"/>
        <v>728.87734862758157</v>
      </c>
    </row>
    <row r="30" spans="2:8" x14ac:dyDescent="0.25">
      <c r="B30" s="41">
        <v>27</v>
      </c>
      <c r="C30" s="41">
        <v>122.1</v>
      </c>
      <c r="D30" s="42" t="s">
        <v>302</v>
      </c>
      <c r="E30" s="41" t="s">
        <v>222</v>
      </c>
      <c r="F30" s="48">
        <v>20</v>
      </c>
      <c r="G30" s="50">
        <v>75.281771306660772</v>
      </c>
      <c r="H30" s="50">
        <f t="shared" si="0"/>
        <v>1505.6354261332153</v>
      </c>
    </row>
    <row r="31" spans="2:8" x14ac:dyDescent="0.25">
      <c r="B31" s="41">
        <v>28</v>
      </c>
      <c r="C31" s="41">
        <v>124.1</v>
      </c>
      <c r="D31" s="42" t="s">
        <v>303</v>
      </c>
      <c r="E31" s="41" t="s">
        <v>222</v>
      </c>
      <c r="F31" s="48">
        <v>10</v>
      </c>
      <c r="G31" s="50">
        <v>248.75177003681679</v>
      </c>
      <c r="H31" s="50">
        <f t="shared" si="0"/>
        <v>2487.5177003681679</v>
      </c>
    </row>
    <row r="32" spans="2:8" x14ac:dyDescent="0.25">
      <c r="B32" s="41">
        <v>29</v>
      </c>
      <c r="C32" s="41">
        <v>119.1</v>
      </c>
      <c r="D32" s="42" t="s">
        <v>326</v>
      </c>
      <c r="E32" s="41" t="s">
        <v>157</v>
      </c>
      <c r="F32" s="48">
        <v>2</v>
      </c>
      <c r="G32" s="50">
        <v>281.71814764841946</v>
      </c>
      <c r="H32" s="50">
        <f t="shared" si="0"/>
        <v>563.43629529683892</v>
      </c>
    </row>
    <row r="33" spans="2:8" x14ac:dyDescent="0.25">
      <c r="B33" s="41">
        <v>30</v>
      </c>
      <c r="C33" s="41">
        <v>136.1</v>
      </c>
      <c r="D33" s="42" t="s">
        <v>249</v>
      </c>
      <c r="E33" s="41" t="s">
        <v>222</v>
      </c>
      <c r="F33" s="48">
        <v>10</v>
      </c>
      <c r="G33" s="50">
        <v>75.002923647812892</v>
      </c>
      <c r="H33" s="50">
        <f t="shared" si="0"/>
        <v>750.02923647812895</v>
      </c>
    </row>
    <row r="34" spans="2:8" x14ac:dyDescent="0.25">
      <c r="B34" s="41">
        <v>31</v>
      </c>
      <c r="C34" s="41">
        <v>137.1</v>
      </c>
      <c r="D34" s="42" t="s">
        <v>304</v>
      </c>
      <c r="E34" s="41" t="s">
        <v>305</v>
      </c>
      <c r="F34" s="48">
        <v>5</v>
      </c>
      <c r="G34" s="50">
        <v>281.36521558197234</v>
      </c>
      <c r="H34" s="50">
        <f t="shared" si="0"/>
        <v>1406.8260779098616</v>
      </c>
    </row>
    <row r="35" spans="2:8" x14ac:dyDescent="0.25">
      <c r="B35" s="41">
        <v>32</v>
      </c>
      <c r="C35" s="41">
        <v>138.1</v>
      </c>
      <c r="D35" s="42" t="s">
        <v>306</v>
      </c>
      <c r="E35" s="41" t="s">
        <v>305</v>
      </c>
      <c r="F35" s="48">
        <v>8</v>
      </c>
      <c r="G35" s="50">
        <v>158.11743185527106</v>
      </c>
      <c r="H35" s="50">
        <f t="shared" si="0"/>
        <v>1264.9394548421685</v>
      </c>
    </row>
    <row r="36" spans="2:8" x14ac:dyDescent="0.25">
      <c r="B36" s="41">
        <v>33</v>
      </c>
      <c r="C36" s="41" t="s">
        <v>468</v>
      </c>
      <c r="D36" s="82" t="s">
        <v>469</v>
      </c>
      <c r="E36" s="41" t="s">
        <v>222</v>
      </c>
      <c r="F36" s="48">
        <v>10</v>
      </c>
      <c r="G36" s="50">
        <v>156.98399999999998</v>
      </c>
      <c r="H36" s="50">
        <f t="shared" si="0"/>
        <v>1569.8399999999997</v>
      </c>
    </row>
    <row r="37" spans="2:8" x14ac:dyDescent="0.25">
      <c r="B37" s="41">
        <v>34</v>
      </c>
      <c r="C37" s="41" t="s">
        <v>410</v>
      </c>
      <c r="D37" s="82" t="s">
        <v>428</v>
      </c>
      <c r="E37" s="41" t="s">
        <v>250</v>
      </c>
      <c r="F37" s="48">
        <v>2</v>
      </c>
      <c r="G37" s="50">
        <v>104.65600000000001</v>
      </c>
      <c r="H37" s="50">
        <f t="shared" si="0"/>
        <v>209.31200000000001</v>
      </c>
    </row>
    <row r="38" spans="2:8" ht="25.5" x14ac:dyDescent="0.25">
      <c r="B38" s="41">
        <v>35</v>
      </c>
      <c r="C38" s="41" t="s">
        <v>426</v>
      </c>
      <c r="D38" s="152" t="s">
        <v>427</v>
      </c>
      <c r="E38" s="41" t="s">
        <v>157</v>
      </c>
      <c r="F38" s="48">
        <v>7</v>
      </c>
      <c r="G38" s="50">
        <v>1080</v>
      </c>
      <c r="H38" s="50">
        <f>F38*G38</f>
        <v>7560</v>
      </c>
    </row>
    <row r="39" spans="2:8" ht="15" customHeight="1" x14ac:dyDescent="0.25">
      <c r="B39" s="41">
        <v>36</v>
      </c>
      <c r="C39" s="41">
        <v>133.1</v>
      </c>
      <c r="D39" s="42" t="s">
        <v>253</v>
      </c>
      <c r="E39" s="41" t="s">
        <v>157</v>
      </c>
      <c r="F39" s="48">
        <v>2</v>
      </c>
      <c r="G39" s="50">
        <v>60.758062728582523</v>
      </c>
      <c r="H39" s="50">
        <f t="shared" si="0"/>
        <v>121.51612545716505</v>
      </c>
    </row>
    <row r="40" spans="2:8" ht="15" customHeight="1" x14ac:dyDescent="0.25">
      <c r="B40" s="94" t="s">
        <v>74</v>
      </c>
      <c r="C40" s="450" t="s">
        <v>254</v>
      </c>
      <c r="D40" s="450"/>
      <c r="E40" s="450"/>
      <c r="F40" s="450"/>
      <c r="G40" s="450"/>
      <c r="H40" s="127">
        <f>SUM(H4:H39)</f>
        <v>316482.13339915301</v>
      </c>
    </row>
    <row r="41" spans="2:8" x14ac:dyDescent="0.25">
      <c r="B41" s="41" t="s">
        <v>75</v>
      </c>
      <c r="C41" s="446" t="s">
        <v>255</v>
      </c>
      <c r="D41" s="446"/>
      <c r="E41" s="446"/>
      <c r="F41" s="52" t="s">
        <v>227</v>
      </c>
      <c r="G41" s="53">
        <v>0.03</v>
      </c>
      <c r="H41" s="50">
        <f t="shared" ref="H41:H46" si="1">G41*$H$40</f>
        <v>9494.4640019745893</v>
      </c>
    </row>
    <row r="42" spans="2:8" x14ac:dyDescent="0.25">
      <c r="B42" s="41" t="s">
        <v>76</v>
      </c>
      <c r="C42" s="446" t="s">
        <v>256</v>
      </c>
      <c r="D42" s="446"/>
      <c r="E42" s="446"/>
      <c r="F42" s="52" t="s">
        <v>227</v>
      </c>
      <c r="G42" s="53">
        <v>0.03</v>
      </c>
      <c r="H42" s="50">
        <f t="shared" si="1"/>
        <v>9494.4640019745893</v>
      </c>
    </row>
    <row r="43" spans="2:8" ht="15" customHeight="1" x14ac:dyDescent="0.25">
      <c r="B43" s="41" t="s">
        <v>77</v>
      </c>
      <c r="C43" s="446" t="s">
        <v>257</v>
      </c>
      <c r="D43" s="446"/>
      <c r="E43" s="446"/>
      <c r="F43" s="52" t="s">
        <v>227</v>
      </c>
      <c r="G43" s="53">
        <v>0.03</v>
      </c>
      <c r="H43" s="50">
        <f t="shared" si="1"/>
        <v>9494.4640019745893</v>
      </c>
    </row>
    <row r="44" spans="2:8" x14ac:dyDescent="0.25">
      <c r="B44" s="41" t="s">
        <v>78</v>
      </c>
      <c r="C44" s="446" t="s">
        <v>258</v>
      </c>
      <c r="D44" s="446"/>
      <c r="E44" s="446"/>
      <c r="F44" s="52" t="s">
        <v>227</v>
      </c>
      <c r="G44" s="53">
        <v>0.04</v>
      </c>
      <c r="H44" s="50">
        <f t="shared" si="1"/>
        <v>12659.28533596612</v>
      </c>
    </row>
    <row r="45" spans="2:8" x14ac:dyDescent="0.25">
      <c r="B45" s="41" t="s">
        <v>213</v>
      </c>
      <c r="C45" s="446" t="s">
        <v>259</v>
      </c>
      <c r="D45" s="446"/>
      <c r="E45" s="446"/>
      <c r="F45" s="52" t="s">
        <v>227</v>
      </c>
      <c r="G45" s="53">
        <v>0.02</v>
      </c>
      <c r="H45" s="50">
        <f t="shared" si="1"/>
        <v>6329.6426679830602</v>
      </c>
    </row>
    <row r="46" spans="2:8" x14ac:dyDescent="0.25">
      <c r="B46" s="41" t="s">
        <v>92</v>
      </c>
      <c r="C46" s="446" t="s">
        <v>260</v>
      </c>
      <c r="D46" s="446"/>
      <c r="E46" s="446"/>
      <c r="F46" s="52" t="s">
        <v>227</v>
      </c>
      <c r="G46" s="53">
        <v>0.1</v>
      </c>
      <c r="H46" s="50">
        <f t="shared" si="1"/>
        <v>31648.213339915303</v>
      </c>
    </row>
    <row r="47" spans="2:8" x14ac:dyDescent="0.25">
      <c r="B47" s="352" t="s">
        <v>93</v>
      </c>
      <c r="C47" s="451" t="s">
        <v>261</v>
      </c>
      <c r="D47" s="452"/>
      <c r="E47" s="453"/>
      <c r="F47" s="457" t="s">
        <v>144</v>
      </c>
      <c r="G47" s="458"/>
      <c r="H47" s="50">
        <f>'DSS labour'!T29</f>
        <v>22546.137864792683</v>
      </c>
    </row>
    <row r="48" spans="2:8" x14ac:dyDescent="0.25">
      <c r="B48" s="353"/>
      <c r="C48" s="454"/>
      <c r="D48" s="455"/>
      <c r="E48" s="456"/>
      <c r="F48" s="457" t="s">
        <v>145</v>
      </c>
      <c r="G48" s="458"/>
      <c r="H48" s="50">
        <f>'DSS labour'!U29</f>
        <v>23083.356389378088</v>
      </c>
    </row>
    <row r="49" spans="2:8" x14ac:dyDescent="0.25">
      <c r="B49" s="331" t="s">
        <v>94</v>
      </c>
      <c r="C49" s="355" t="s">
        <v>262</v>
      </c>
      <c r="D49" s="355"/>
      <c r="E49" s="355"/>
      <c r="F49" s="446" t="s">
        <v>144</v>
      </c>
      <c r="G49" s="446"/>
      <c r="H49" s="128">
        <f>SUM(H40:H47)</f>
        <v>418148.80461373401</v>
      </c>
    </row>
    <row r="50" spans="2:8" x14ac:dyDescent="0.25">
      <c r="B50" s="331"/>
      <c r="C50" s="355"/>
      <c r="D50" s="355"/>
      <c r="E50" s="355"/>
      <c r="F50" s="446" t="s">
        <v>145</v>
      </c>
      <c r="G50" s="446"/>
      <c r="H50" s="128">
        <f>SUM(H40:H46,H48)</f>
        <v>418686.02313831943</v>
      </c>
    </row>
  </sheetData>
  <mergeCells count="16">
    <mergeCell ref="B49:B50"/>
    <mergeCell ref="C49:E50"/>
    <mergeCell ref="F49:G49"/>
    <mergeCell ref="F50:G50"/>
    <mergeCell ref="D2:H2"/>
    <mergeCell ref="C40:G40"/>
    <mergeCell ref="B47:B48"/>
    <mergeCell ref="C47:E48"/>
    <mergeCell ref="F47:G47"/>
    <mergeCell ref="F48:G48"/>
    <mergeCell ref="C44:E44"/>
    <mergeCell ref="C45:E45"/>
    <mergeCell ref="C46:E46"/>
    <mergeCell ref="C41:E41"/>
    <mergeCell ref="C42:E42"/>
    <mergeCell ref="C43:E43"/>
  </mergeCells>
  <pageMargins left="0.7" right="0.7" top="0.75" bottom="0.75" header="0.3" footer="0.3"/>
  <pageSetup paperSize="9" scale="85"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50"/>
  <sheetViews>
    <sheetView zoomScaleNormal="100" workbookViewId="0"/>
  </sheetViews>
  <sheetFormatPr defaultRowHeight="15" x14ac:dyDescent="0.25"/>
  <cols>
    <col min="1" max="1" width="9.140625" style="46"/>
    <col min="2" max="2" width="5" style="46" bestFit="1" customWidth="1"/>
    <col min="3" max="3" width="6" style="54" customWidth="1"/>
    <col min="4" max="4" width="49.140625" style="46" customWidth="1"/>
    <col min="5" max="5" width="5.85546875" style="54" customWidth="1"/>
    <col min="6" max="6" width="5.5703125" style="46" customWidth="1"/>
    <col min="7" max="7" width="10.7109375" style="46" bestFit="1" customWidth="1"/>
    <col min="8" max="8" width="10" style="46" customWidth="1"/>
    <col min="9" max="16384" width="9.140625" style="46"/>
  </cols>
  <sheetData>
    <row r="2" spans="2:8" ht="49.5" customHeight="1" x14ac:dyDescent="0.25">
      <c r="C2" s="95"/>
      <c r="D2" s="447" t="s">
        <v>630</v>
      </c>
      <c r="E2" s="448"/>
      <c r="F2" s="448"/>
      <c r="G2" s="448"/>
      <c r="H2" s="449"/>
    </row>
    <row r="3" spans="2:8" ht="25.5" x14ac:dyDescent="0.25">
      <c r="B3" s="94" t="s">
        <v>114</v>
      </c>
      <c r="C3" s="94" t="s">
        <v>229</v>
      </c>
      <c r="D3" s="94" t="s">
        <v>230</v>
      </c>
      <c r="E3" s="94" t="s">
        <v>0</v>
      </c>
      <c r="F3" s="94" t="s">
        <v>107</v>
      </c>
      <c r="G3" s="94" t="s">
        <v>231</v>
      </c>
      <c r="H3" s="94" t="s">
        <v>232</v>
      </c>
    </row>
    <row r="4" spans="2:8" x14ac:dyDescent="0.25">
      <c r="B4" s="41">
        <v>1</v>
      </c>
      <c r="C4" s="41">
        <v>164.1</v>
      </c>
      <c r="D4" s="152" t="s">
        <v>308</v>
      </c>
      <c r="E4" s="41" t="s">
        <v>157</v>
      </c>
      <c r="F4" s="48">
        <v>2</v>
      </c>
      <c r="G4" s="50">
        <v>4754.7768663261377</v>
      </c>
      <c r="H4" s="50">
        <f t="shared" ref="H4:H39" si="0">F4*G4</f>
        <v>9509.5537326522754</v>
      </c>
    </row>
    <row r="5" spans="2:8" x14ac:dyDescent="0.25">
      <c r="B5" s="41">
        <v>2</v>
      </c>
      <c r="C5" s="41">
        <v>23.1</v>
      </c>
      <c r="D5" s="152" t="s">
        <v>309</v>
      </c>
      <c r="E5" s="41" t="s">
        <v>234</v>
      </c>
      <c r="F5" s="50">
        <v>0.2</v>
      </c>
      <c r="G5" s="50">
        <v>38308.971184750095</v>
      </c>
      <c r="H5" s="50">
        <f t="shared" si="0"/>
        <v>7661.7942369500197</v>
      </c>
    </row>
    <row r="6" spans="2:8" x14ac:dyDescent="0.25">
      <c r="B6" s="41">
        <v>3</v>
      </c>
      <c r="C6" s="41">
        <v>123.1</v>
      </c>
      <c r="D6" s="152" t="s">
        <v>310</v>
      </c>
      <c r="E6" s="41" t="s">
        <v>157</v>
      </c>
      <c r="F6" s="48">
        <v>6</v>
      </c>
      <c r="G6" s="50">
        <v>39.239582178876212</v>
      </c>
      <c r="H6" s="50">
        <f t="shared" si="0"/>
        <v>235.43749307325726</v>
      </c>
    </row>
    <row r="7" spans="2:8" x14ac:dyDescent="0.25">
      <c r="B7" s="41">
        <v>4</v>
      </c>
      <c r="C7" s="41">
        <v>101.1</v>
      </c>
      <c r="D7" s="152" t="s">
        <v>311</v>
      </c>
      <c r="E7" s="41" t="s">
        <v>157</v>
      </c>
      <c r="F7" s="48">
        <v>3</v>
      </c>
      <c r="G7" s="50">
        <v>154.69497662030849</v>
      </c>
      <c r="H7" s="50">
        <f t="shared" si="0"/>
        <v>464.08492986092551</v>
      </c>
    </row>
    <row r="8" spans="2:8" x14ac:dyDescent="0.25">
      <c r="B8" s="41">
        <v>5</v>
      </c>
      <c r="C8" s="41">
        <v>102.1</v>
      </c>
      <c r="D8" s="152" t="s">
        <v>312</v>
      </c>
      <c r="E8" s="41" t="s">
        <v>157</v>
      </c>
      <c r="F8" s="48">
        <v>3</v>
      </c>
      <c r="G8" s="50">
        <v>229.02385941322578</v>
      </c>
      <c r="H8" s="50">
        <f t="shared" si="0"/>
        <v>687.07157823967736</v>
      </c>
    </row>
    <row r="9" spans="2:8" x14ac:dyDescent="0.25">
      <c r="B9" s="41">
        <v>6</v>
      </c>
      <c r="C9" s="41">
        <v>4.0999999999999996</v>
      </c>
      <c r="D9" s="152" t="s">
        <v>450</v>
      </c>
      <c r="E9" s="41" t="s">
        <v>158</v>
      </c>
      <c r="F9" s="48">
        <v>1</v>
      </c>
      <c r="G9" s="50">
        <v>16189.192083570191</v>
      </c>
      <c r="H9" s="50">
        <f t="shared" si="0"/>
        <v>16189.192083570191</v>
      </c>
    </row>
    <row r="10" spans="2:8" x14ac:dyDescent="0.25">
      <c r="B10" s="41">
        <v>7</v>
      </c>
      <c r="C10" s="41">
        <v>104.1</v>
      </c>
      <c r="D10" s="152" t="s">
        <v>313</v>
      </c>
      <c r="E10" s="41" t="s">
        <v>157</v>
      </c>
      <c r="F10" s="48">
        <v>1</v>
      </c>
      <c r="G10" s="50">
        <v>2003.6613836898032</v>
      </c>
      <c r="H10" s="50">
        <f t="shared" si="0"/>
        <v>2003.6613836898032</v>
      </c>
    </row>
    <row r="11" spans="2:8" ht="25.5" x14ac:dyDescent="0.25">
      <c r="B11" s="41">
        <v>8</v>
      </c>
      <c r="C11" s="41">
        <v>186.1</v>
      </c>
      <c r="D11" s="42" t="s">
        <v>625</v>
      </c>
      <c r="E11" s="41" t="s">
        <v>157</v>
      </c>
      <c r="F11" s="48">
        <v>1</v>
      </c>
      <c r="G11" s="50">
        <v>272121.13194839976</v>
      </c>
      <c r="H11" s="50">
        <f t="shared" si="0"/>
        <v>272121.13194839976</v>
      </c>
    </row>
    <row r="12" spans="2:8" x14ac:dyDescent="0.25">
      <c r="B12" s="41">
        <v>9</v>
      </c>
      <c r="C12" s="41" t="s">
        <v>452</v>
      </c>
      <c r="D12" s="152" t="s">
        <v>314</v>
      </c>
      <c r="E12" s="41" t="s">
        <v>158</v>
      </c>
      <c r="F12" s="48">
        <v>4</v>
      </c>
      <c r="G12" s="50">
        <v>182.46600000000001</v>
      </c>
      <c r="H12" s="50">
        <f t="shared" si="0"/>
        <v>729.86400000000003</v>
      </c>
    </row>
    <row r="13" spans="2:8" ht="25.5" x14ac:dyDescent="0.25">
      <c r="B13" s="41">
        <v>10</v>
      </c>
      <c r="C13" s="41" t="s">
        <v>453</v>
      </c>
      <c r="D13" s="152" t="s">
        <v>315</v>
      </c>
      <c r="E13" s="41" t="s">
        <v>316</v>
      </c>
      <c r="F13" s="48">
        <v>4</v>
      </c>
      <c r="G13" s="50">
        <v>127.53</v>
      </c>
      <c r="H13" s="50">
        <f t="shared" si="0"/>
        <v>510.12</v>
      </c>
    </row>
    <row r="14" spans="2:8" x14ac:dyDescent="0.25">
      <c r="B14" s="41">
        <v>11</v>
      </c>
      <c r="C14" s="41" t="s">
        <v>420</v>
      </c>
      <c r="D14" s="152" t="s">
        <v>317</v>
      </c>
      <c r="E14" s="41" t="s">
        <v>250</v>
      </c>
      <c r="F14" s="48">
        <v>4</v>
      </c>
      <c r="G14" s="50">
        <v>127.54949999999999</v>
      </c>
      <c r="H14" s="50">
        <f t="shared" si="0"/>
        <v>510.19799999999998</v>
      </c>
    </row>
    <row r="15" spans="2:8" ht="25.5" x14ac:dyDescent="0.25">
      <c r="B15" s="41">
        <v>12</v>
      </c>
      <c r="C15" s="41" t="s">
        <v>454</v>
      </c>
      <c r="D15" s="152" t="s">
        <v>318</v>
      </c>
      <c r="E15" s="41" t="s">
        <v>158</v>
      </c>
      <c r="F15" s="48">
        <v>2</v>
      </c>
      <c r="G15" s="50">
        <v>3495.5103999999997</v>
      </c>
      <c r="H15" s="50">
        <f t="shared" si="0"/>
        <v>6991.0207999999993</v>
      </c>
    </row>
    <row r="16" spans="2:8" ht="15" customHeight="1" x14ac:dyDescent="0.25">
      <c r="B16" s="41">
        <v>13</v>
      </c>
      <c r="C16" s="41" t="s">
        <v>455</v>
      </c>
      <c r="D16" s="152" t="s">
        <v>319</v>
      </c>
      <c r="E16" s="41" t="s">
        <v>158</v>
      </c>
      <c r="F16" s="48">
        <v>2</v>
      </c>
      <c r="G16" s="50">
        <v>3495.5103999999997</v>
      </c>
      <c r="H16" s="50">
        <f t="shared" si="0"/>
        <v>6991.0207999999993</v>
      </c>
    </row>
    <row r="17" spans="2:8" ht="25.5" x14ac:dyDescent="0.25">
      <c r="B17" s="41">
        <v>14</v>
      </c>
      <c r="C17" s="41" t="s">
        <v>456</v>
      </c>
      <c r="D17" s="152" t="s">
        <v>320</v>
      </c>
      <c r="E17" s="41" t="s">
        <v>316</v>
      </c>
      <c r="F17" s="48">
        <v>1</v>
      </c>
      <c r="G17" s="50">
        <v>1225.7833999999998</v>
      </c>
      <c r="H17" s="50">
        <f t="shared" si="0"/>
        <v>1225.7833999999998</v>
      </c>
    </row>
    <row r="18" spans="2:8" x14ac:dyDescent="0.25">
      <c r="B18" s="41">
        <v>15</v>
      </c>
      <c r="C18" s="41" t="s">
        <v>457</v>
      </c>
      <c r="D18" s="152" t="s">
        <v>321</v>
      </c>
      <c r="E18" s="41" t="s">
        <v>158</v>
      </c>
      <c r="F18" s="48">
        <v>2</v>
      </c>
      <c r="G18" s="50">
        <v>3495.5103999999997</v>
      </c>
      <c r="H18" s="50">
        <f t="shared" si="0"/>
        <v>6991.0207999999993</v>
      </c>
    </row>
    <row r="19" spans="2:8" ht="25.5" x14ac:dyDescent="0.25">
      <c r="B19" s="41">
        <v>16</v>
      </c>
      <c r="C19" s="41" t="s">
        <v>458</v>
      </c>
      <c r="D19" s="152" t="s">
        <v>459</v>
      </c>
      <c r="E19" s="41" t="s">
        <v>158</v>
      </c>
      <c r="F19" s="48">
        <v>2</v>
      </c>
      <c r="G19" s="50">
        <v>2940.3840000000005</v>
      </c>
      <c r="H19" s="50">
        <f t="shared" si="0"/>
        <v>5880.7680000000009</v>
      </c>
    </row>
    <row r="20" spans="2:8" ht="25.5" x14ac:dyDescent="0.25">
      <c r="B20" s="41">
        <v>17</v>
      </c>
      <c r="C20" s="41" t="s">
        <v>460</v>
      </c>
      <c r="D20" s="85" t="s">
        <v>461</v>
      </c>
      <c r="E20" s="41" t="s">
        <v>158</v>
      </c>
      <c r="F20" s="48">
        <v>2</v>
      </c>
      <c r="G20" s="50">
        <v>2093.12</v>
      </c>
      <c r="H20" s="50">
        <f t="shared" si="0"/>
        <v>4186.24</v>
      </c>
    </row>
    <row r="21" spans="2:8" ht="25.5" x14ac:dyDescent="0.25">
      <c r="B21" s="41">
        <v>18</v>
      </c>
      <c r="C21" s="41" t="s">
        <v>322</v>
      </c>
      <c r="D21" s="152" t="s">
        <v>323</v>
      </c>
      <c r="E21" s="41" t="s">
        <v>158</v>
      </c>
      <c r="F21" s="48">
        <v>4</v>
      </c>
      <c r="G21" s="50">
        <v>141.28559999999999</v>
      </c>
      <c r="H21" s="50">
        <f t="shared" si="0"/>
        <v>565.14239999999995</v>
      </c>
    </row>
    <row r="22" spans="2:8" x14ac:dyDescent="0.25">
      <c r="B22" s="41">
        <v>19</v>
      </c>
      <c r="C22" s="41" t="s">
        <v>462</v>
      </c>
      <c r="D22" s="152" t="s">
        <v>463</v>
      </c>
      <c r="E22" s="41" t="s">
        <v>250</v>
      </c>
      <c r="F22" s="48">
        <v>4</v>
      </c>
      <c r="G22" s="50">
        <v>141.26400000000001</v>
      </c>
      <c r="H22" s="50">
        <f t="shared" si="0"/>
        <v>565.05600000000004</v>
      </c>
    </row>
    <row r="23" spans="2:8" x14ac:dyDescent="0.25">
      <c r="B23" s="41">
        <v>20</v>
      </c>
      <c r="C23" s="41" t="s">
        <v>464</v>
      </c>
      <c r="D23" s="152" t="s">
        <v>465</v>
      </c>
      <c r="E23" s="41" t="s">
        <v>250</v>
      </c>
      <c r="F23" s="48">
        <v>4</v>
      </c>
      <c r="G23" s="50">
        <v>58.860000000000007</v>
      </c>
      <c r="H23" s="50">
        <f t="shared" si="0"/>
        <v>235.44000000000003</v>
      </c>
    </row>
    <row r="24" spans="2:8" x14ac:dyDescent="0.25">
      <c r="B24" s="41">
        <v>21</v>
      </c>
      <c r="C24" s="41" t="s">
        <v>466</v>
      </c>
      <c r="D24" s="152" t="s">
        <v>324</v>
      </c>
      <c r="E24" s="41" t="s">
        <v>158</v>
      </c>
      <c r="F24" s="48">
        <v>1</v>
      </c>
      <c r="G24" s="50">
        <v>810.10750304776695</v>
      </c>
      <c r="H24" s="50">
        <f t="shared" si="0"/>
        <v>810.10750304776695</v>
      </c>
    </row>
    <row r="25" spans="2:8" x14ac:dyDescent="0.25">
      <c r="B25" s="41">
        <v>22</v>
      </c>
      <c r="C25" s="41">
        <v>170.1</v>
      </c>
      <c r="D25" s="152" t="s">
        <v>325</v>
      </c>
      <c r="E25" s="41" t="s">
        <v>158</v>
      </c>
      <c r="F25" s="48">
        <v>1</v>
      </c>
      <c r="G25" s="50">
        <v>651.3770641693452</v>
      </c>
      <c r="H25" s="50">
        <f t="shared" si="0"/>
        <v>651.3770641693452</v>
      </c>
    </row>
    <row r="26" spans="2:8" ht="25.5" x14ac:dyDescent="0.25">
      <c r="B26" s="41">
        <v>23</v>
      </c>
      <c r="C26" s="41">
        <v>109.1</v>
      </c>
      <c r="D26" s="82" t="s">
        <v>473</v>
      </c>
      <c r="E26" s="41" t="s">
        <v>157</v>
      </c>
      <c r="F26" s="42">
        <v>1</v>
      </c>
      <c r="G26" s="50">
        <v>11360.645072509882</v>
      </c>
      <c r="H26" s="50">
        <f t="shared" si="0"/>
        <v>11360.645072509882</v>
      </c>
    </row>
    <row r="27" spans="2:8" ht="25.5" x14ac:dyDescent="0.25">
      <c r="B27" s="41">
        <v>24</v>
      </c>
      <c r="C27" s="34" t="s">
        <v>335</v>
      </c>
      <c r="D27" s="57" t="s">
        <v>474</v>
      </c>
      <c r="E27" s="41" t="s">
        <v>157</v>
      </c>
      <c r="F27" s="48">
        <v>1</v>
      </c>
      <c r="G27" s="50">
        <v>35315.528404874793</v>
      </c>
      <c r="H27" s="50">
        <f t="shared" si="0"/>
        <v>35315.528404874793</v>
      </c>
    </row>
    <row r="28" spans="2:8" x14ac:dyDescent="0.25">
      <c r="B28" s="41">
        <v>25</v>
      </c>
      <c r="C28" s="41">
        <v>17.100000000000001</v>
      </c>
      <c r="D28" s="42" t="s">
        <v>244</v>
      </c>
      <c r="E28" s="41" t="s">
        <v>222</v>
      </c>
      <c r="F28" s="48">
        <v>10</v>
      </c>
      <c r="G28" s="50">
        <v>258.22244052676297</v>
      </c>
      <c r="H28" s="50">
        <f t="shared" si="0"/>
        <v>2582.2244052676297</v>
      </c>
    </row>
    <row r="29" spans="2:8" x14ac:dyDescent="0.25">
      <c r="B29" s="41">
        <v>26</v>
      </c>
      <c r="C29" s="41">
        <v>18.100000000000001</v>
      </c>
      <c r="D29" s="42" t="s">
        <v>301</v>
      </c>
      <c r="E29" s="41" t="s">
        <v>222</v>
      </c>
      <c r="F29" s="48">
        <v>10</v>
      </c>
      <c r="G29" s="50">
        <v>72.887734862758151</v>
      </c>
      <c r="H29" s="50">
        <f t="shared" si="0"/>
        <v>728.87734862758157</v>
      </c>
    </row>
    <row r="30" spans="2:8" x14ac:dyDescent="0.25">
      <c r="B30" s="41">
        <v>27</v>
      </c>
      <c r="C30" s="41">
        <v>122.1</v>
      </c>
      <c r="D30" s="42" t="s">
        <v>302</v>
      </c>
      <c r="E30" s="41" t="s">
        <v>222</v>
      </c>
      <c r="F30" s="48">
        <v>20</v>
      </c>
      <c r="G30" s="50">
        <v>75.281771306660772</v>
      </c>
      <c r="H30" s="50">
        <f t="shared" si="0"/>
        <v>1505.6354261332153</v>
      </c>
    </row>
    <row r="31" spans="2:8" x14ac:dyDescent="0.25">
      <c r="B31" s="41">
        <v>28</v>
      </c>
      <c r="C31" s="41">
        <v>124.1</v>
      </c>
      <c r="D31" s="42" t="s">
        <v>303</v>
      </c>
      <c r="E31" s="41" t="s">
        <v>222</v>
      </c>
      <c r="F31" s="48">
        <v>10</v>
      </c>
      <c r="G31" s="50">
        <v>248.75177003681679</v>
      </c>
      <c r="H31" s="50">
        <f t="shared" si="0"/>
        <v>2487.5177003681679</v>
      </c>
    </row>
    <row r="32" spans="2:8" x14ac:dyDescent="0.25">
      <c r="B32" s="41">
        <v>29</v>
      </c>
      <c r="C32" s="41">
        <v>119.1</v>
      </c>
      <c r="D32" s="42" t="s">
        <v>326</v>
      </c>
      <c r="E32" s="41" t="s">
        <v>157</v>
      </c>
      <c r="F32" s="48">
        <v>2</v>
      </c>
      <c r="G32" s="50">
        <v>281.71814764841946</v>
      </c>
      <c r="H32" s="50">
        <f t="shared" si="0"/>
        <v>563.43629529683892</v>
      </c>
    </row>
    <row r="33" spans="2:8" x14ac:dyDescent="0.25">
      <c r="B33" s="41">
        <v>30</v>
      </c>
      <c r="C33" s="41">
        <v>136.1</v>
      </c>
      <c r="D33" s="42" t="s">
        <v>249</v>
      </c>
      <c r="E33" s="41" t="s">
        <v>222</v>
      </c>
      <c r="F33" s="48">
        <v>10</v>
      </c>
      <c r="G33" s="50">
        <v>75.002923647812892</v>
      </c>
      <c r="H33" s="50">
        <f t="shared" si="0"/>
        <v>750.02923647812895</v>
      </c>
    </row>
    <row r="34" spans="2:8" x14ac:dyDescent="0.25">
      <c r="B34" s="41">
        <v>31</v>
      </c>
      <c r="C34" s="41">
        <v>137.1</v>
      </c>
      <c r="D34" s="42" t="s">
        <v>304</v>
      </c>
      <c r="E34" s="41" t="s">
        <v>305</v>
      </c>
      <c r="F34" s="48">
        <v>5</v>
      </c>
      <c r="G34" s="50">
        <v>281.36521558197234</v>
      </c>
      <c r="H34" s="50">
        <f t="shared" si="0"/>
        <v>1406.8260779098616</v>
      </c>
    </row>
    <row r="35" spans="2:8" x14ac:dyDescent="0.25">
      <c r="B35" s="41">
        <v>32</v>
      </c>
      <c r="C35" s="41">
        <v>138.1</v>
      </c>
      <c r="D35" s="42" t="s">
        <v>306</v>
      </c>
      <c r="E35" s="41" t="s">
        <v>305</v>
      </c>
      <c r="F35" s="48">
        <v>8</v>
      </c>
      <c r="G35" s="50">
        <v>158.11743185527106</v>
      </c>
      <c r="H35" s="50">
        <f t="shared" si="0"/>
        <v>1264.9394548421685</v>
      </c>
    </row>
    <row r="36" spans="2:8" x14ac:dyDescent="0.25">
      <c r="B36" s="41">
        <v>33</v>
      </c>
      <c r="C36" s="41" t="s">
        <v>468</v>
      </c>
      <c r="D36" s="82" t="s">
        <v>469</v>
      </c>
      <c r="E36" s="41" t="s">
        <v>222</v>
      </c>
      <c r="F36" s="48">
        <v>10</v>
      </c>
      <c r="G36" s="50">
        <v>156.98399999999998</v>
      </c>
      <c r="H36" s="50">
        <f t="shared" si="0"/>
        <v>1569.8399999999997</v>
      </c>
    </row>
    <row r="37" spans="2:8" x14ac:dyDescent="0.25">
      <c r="B37" s="41">
        <v>34</v>
      </c>
      <c r="C37" s="41" t="s">
        <v>410</v>
      </c>
      <c r="D37" s="82" t="s">
        <v>428</v>
      </c>
      <c r="E37" s="41" t="s">
        <v>250</v>
      </c>
      <c r="F37" s="48">
        <v>2</v>
      </c>
      <c r="G37" s="50">
        <v>104.65600000000001</v>
      </c>
      <c r="H37" s="50">
        <f t="shared" si="0"/>
        <v>209.31200000000001</v>
      </c>
    </row>
    <row r="38" spans="2:8" ht="25.5" x14ac:dyDescent="0.25">
      <c r="B38" s="41">
        <v>35</v>
      </c>
      <c r="C38" s="41" t="s">
        <v>426</v>
      </c>
      <c r="D38" s="152" t="s">
        <v>427</v>
      </c>
      <c r="E38" s="41" t="s">
        <v>157</v>
      </c>
      <c r="F38" s="48">
        <v>7</v>
      </c>
      <c r="G38" s="50">
        <v>1080</v>
      </c>
      <c r="H38" s="50">
        <f>F38*G38</f>
        <v>7560</v>
      </c>
    </row>
    <row r="39" spans="2:8" ht="15" customHeight="1" x14ac:dyDescent="0.25">
      <c r="B39" s="41">
        <v>36</v>
      </c>
      <c r="C39" s="41">
        <v>133.1</v>
      </c>
      <c r="D39" s="42" t="s">
        <v>253</v>
      </c>
      <c r="E39" s="41" t="s">
        <v>157</v>
      </c>
      <c r="F39" s="48">
        <v>2</v>
      </c>
      <c r="G39" s="50">
        <v>60.758062728582523</v>
      </c>
      <c r="H39" s="50">
        <f t="shared" si="0"/>
        <v>121.51612545716505</v>
      </c>
    </row>
    <row r="40" spans="2:8" ht="15" customHeight="1" x14ac:dyDescent="0.25">
      <c r="B40" s="94" t="s">
        <v>74</v>
      </c>
      <c r="C40" s="450" t="s">
        <v>254</v>
      </c>
      <c r="D40" s="450"/>
      <c r="E40" s="450"/>
      <c r="F40" s="450"/>
      <c r="G40" s="450"/>
      <c r="H40" s="127">
        <f>SUM(H4:H39)</f>
        <v>413141.4137014185</v>
      </c>
    </row>
    <row r="41" spans="2:8" x14ac:dyDescent="0.25">
      <c r="B41" s="41" t="s">
        <v>75</v>
      </c>
      <c r="C41" s="446" t="s">
        <v>255</v>
      </c>
      <c r="D41" s="446"/>
      <c r="E41" s="446"/>
      <c r="F41" s="52" t="s">
        <v>227</v>
      </c>
      <c r="G41" s="53">
        <v>0.03</v>
      </c>
      <c r="H41" s="50">
        <f t="shared" ref="H41:H46" si="1">G41*$H$40</f>
        <v>12394.242411042555</v>
      </c>
    </row>
    <row r="42" spans="2:8" x14ac:dyDescent="0.25">
      <c r="B42" s="41" t="s">
        <v>76</v>
      </c>
      <c r="C42" s="446" t="s">
        <v>256</v>
      </c>
      <c r="D42" s="446"/>
      <c r="E42" s="446"/>
      <c r="F42" s="52" t="s">
        <v>227</v>
      </c>
      <c r="G42" s="53">
        <v>0.03</v>
      </c>
      <c r="H42" s="50">
        <f t="shared" si="1"/>
        <v>12394.242411042555</v>
      </c>
    </row>
    <row r="43" spans="2:8" ht="15" customHeight="1" x14ac:dyDescent="0.25">
      <c r="B43" s="41" t="s">
        <v>77</v>
      </c>
      <c r="C43" s="446" t="s">
        <v>257</v>
      </c>
      <c r="D43" s="446"/>
      <c r="E43" s="446"/>
      <c r="F43" s="52" t="s">
        <v>227</v>
      </c>
      <c r="G43" s="53">
        <v>0.03</v>
      </c>
      <c r="H43" s="50">
        <f t="shared" si="1"/>
        <v>12394.242411042555</v>
      </c>
    </row>
    <row r="44" spans="2:8" x14ac:dyDescent="0.25">
      <c r="B44" s="41" t="s">
        <v>78</v>
      </c>
      <c r="C44" s="446" t="s">
        <v>258</v>
      </c>
      <c r="D44" s="446"/>
      <c r="E44" s="446"/>
      <c r="F44" s="52" t="s">
        <v>227</v>
      </c>
      <c r="G44" s="53">
        <v>0.04</v>
      </c>
      <c r="H44" s="50">
        <f t="shared" si="1"/>
        <v>16525.656548056741</v>
      </c>
    </row>
    <row r="45" spans="2:8" x14ac:dyDescent="0.25">
      <c r="B45" s="41" t="s">
        <v>213</v>
      </c>
      <c r="C45" s="446" t="s">
        <v>259</v>
      </c>
      <c r="D45" s="446"/>
      <c r="E45" s="446"/>
      <c r="F45" s="52" t="s">
        <v>227</v>
      </c>
      <c r="G45" s="53">
        <v>0.02</v>
      </c>
      <c r="H45" s="50">
        <f t="shared" si="1"/>
        <v>8262.8282740283703</v>
      </c>
    </row>
    <row r="46" spans="2:8" x14ac:dyDescent="0.25">
      <c r="B46" s="41" t="s">
        <v>92</v>
      </c>
      <c r="C46" s="446" t="s">
        <v>260</v>
      </c>
      <c r="D46" s="446"/>
      <c r="E46" s="446"/>
      <c r="F46" s="52" t="s">
        <v>227</v>
      </c>
      <c r="G46" s="53">
        <v>0.1</v>
      </c>
      <c r="H46" s="50">
        <f t="shared" si="1"/>
        <v>41314.14137014185</v>
      </c>
    </row>
    <row r="47" spans="2:8" x14ac:dyDescent="0.25">
      <c r="B47" s="352" t="s">
        <v>93</v>
      </c>
      <c r="C47" s="451" t="s">
        <v>261</v>
      </c>
      <c r="D47" s="452"/>
      <c r="E47" s="453"/>
      <c r="F47" s="457" t="s">
        <v>144</v>
      </c>
      <c r="G47" s="458"/>
      <c r="H47" s="50">
        <f>'DSS labour'!W29</f>
        <v>24426.013507263924</v>
      </c>
    </row>
    <row r="48" spans="2:8" x14ac:dyDescent="0.25">
      <c r="B48" s="353"/>
      <c r="C48" s="454"/>
      <c r="D48" s="455"/>
      <c r="E48" s="456"/>
      <c r="F48" s="457" t="s">
        <v>145</v>
      </c>
      <c r="G48" s="458"/>
      <c r="H48" s="50">
        <f>'DSS labour'!X29</f>
        <v>24963.232031849329</v>
      </c>
    </row>
    <row r="49" spans="2:8" x14ac:dyDescent="0.25">
      <c r="B49" s="331" t="s">
        <v>94</v>
      </c>
      <c r="C49" s="355" t="s">
        <v>262</v>
      </c>
      <c r="D49" s="355"/>
      <c r="E49" s="355"/>
      <c r="F49" s="446" t="s">
        <v>144</v>
      </c>
      <c r="G49" s="446"/>
      <c r="H49" s="128">
        <f>SUM(H40:H47)</f>
        <v>540852.7806340371</v>
      </c>
    </row>
    <row r="50" spans="2:8" x14ac:dyDescent="0.25">
      <c r="B50" s="331"/>
      <c r="C50" s="355"/>
      <c r="D50" s="355"/>
      <c r="E50" s="355"/>
      <c r="F50" s="446" t="s">
        <v>145</v>
      </c>
      <c r="G50" s="446"/>
      <c r="H50" s="128">
        <f>SUM(H40:H46,H48)</f>
        <v>541389.99915862246</v>
      </c>
    </row>
  </sheetData>
  <mergeCells count="16">
    <mergeCell ref="B49:B50"/>
    <mergeCell ref="C49:E50"/>
    <mergeCell ref="F49:G49"/>
    <mergeCell ref="F50:G50"/>
    <mergeCell ref="C45:E45"/>
    <mergeCell ref="C46:E46"/>
    <mergeCell ref="B47:B48"/>
    <mergeCell ref="C47:E48"/>
    <mergeCell ref="F47:G47"/>
    <mergeCell ref="F48:G48"/>
    <mergeCell ref="C44:E44"/>
    <mergeCell ref="D2:H2"/>
    <mergeCell ref="C40:G40"/>
    <mergeCell ref="C41:E41"/>
    <mergeCell ref="C42:E42"/>
    <mergeCell ref="C43:E43"/>
  </mergeCells>
  <pageMargins left="0.7" right="0.7" top="0.75" bottom="0.75" header="0.3" footer="0.3"/>
  <pageSetup paperSize="9" scale="85"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2"/>
  <sheetViews>
    <sheetView zoomScaleNormal="100" workbookViewId="0"/>
  </sheetViews>
  <sheetFormatPr defaultRowHeight="15" x14ac:dyDescent="0.25"/>
  <cols>
    <col min="1" max="1" width="9.140625" style="46"/>
    <col min="2" max="2" width="5" style="46" bestFit="1" customWidth="1"/>
    <col min="3" max="3" width="6" style="54" customWidth="1"/>
    <col min="4" max="4" width="49.140625" style="46" customWidth="1"/>
    <col min="5" max="5" width="5.85546875" style="54" customWidth="1"/>
    <col min="6" max="6" width="5.5703125" style="46" customWidth="1"/>
    <col min="7" max="7" width="10.7109375" style="46" bestFit="1" customWidth="1"/>
    <col min="8" max="8" width="10" style="46" customWidth="1"/>
    <col min="9" max="16384" width="9.140625" style="46"/>
  </cols>
  <sheetData>
    <row r="2" spans="2:8" ht="49.5" customHeight="1" x14ac:dyDescent="0.25">
      <c r="C2" s="95"/>
      <c r="D2" s="447" t="s">
        <v>631</v>
      </c>
      <c r="E2" s="448"/>
      <c r="F2" s="448"/>
      <c r="G2" s="448"/>
      <c r="H2" s="449"/>
    </row>
    <row r="3" spans="2:8" ht="25.5" x14ac:dyDescent="0.25">
      <c r="B3" s="79" t="s">
        <v>114</v>
      </c>
      <c r="C3" s="79" t="s">
        <v>229</v>
      </c>
      <c r="D3" s="79" t="s">
        <v>230</v>
      </c>
      <c r="E3" s="79" t="s">
        <v>0</v>
      </c>
      <c r="F3" s="79" t="s">
        <v>107</v>
      </c>
      <c r="G3" s="79" t="s">
        <v>231</v>
      </c>
      <c r="H3" s="79" t="s">
        <v>232</v>
      </c>
    </row>
    <row r="4" spans="2:8" x14ac:dyDescent="0.25">
      <c r="B4" s="41">
        <v>1</v>
      </c>
      <c r="C4" s="41">
        <v>164.1</v>
      </c>
      <c r="D4" s="152" t="s">
        <v>308</v>
      </c>
      <c r="E4" s="41" t="s">
        <v>157</v>
      </c>
      <c r="F4" s="48">
        <v>2</v>
      </c>
      <c r="G4" s="50">
        <v>4754.7768663261377</v>
      </c>
      <c r="H4" s="50">
        <f t="shared" ref="H4:H31" si="0">F4*G4</f>
        <v>9509.5537326522754</v>
      </c>
    </row>
    <row r="5" spans="2:8" ht="25.5" x14ac:dyDescent="0.25">
      <c r="B5" s="41">
        <v>2</v>
      </c>
      <c r="C5" s="41" t="s">
        <v>455</v>
      </c>
      <c r="D5" s="152" t="s">
        <v>319</v>
      </c>
      <c r="E5" s="41" t="s">
        <v>158</v>
      </c>
      <c r="F5" s="48">
        <v>2</v>
      </c>
      <c r="G5" s="50">
        <v>3495.5103999999997</v>
      </c>
      <c r="H5" s="50">
        <f t="shared" si="0"/>
        <v>6991.0207999999993</v>
      </c>
    </row>
    <row r="6" spans="2:8" x14ac:dyDescent="0.25">
      <c r="B6" s="41">
        <v>3</v>
      </c>
      <c r="C6" s="41" t="s">
        <v>452</v>
      </c>
      <c r="D6" s="152" t="s">
        <v>314</v>
      </c>
      <c r="E6" s="41" t="s">
        <v>158</v>
      </c>
      <c r="F6" s="48">
        <v>4</v>
      </c>
      <c r="G6" s="50">
        <v>182.46600000000001</v>
      </c>
      <c r="H6" s="50">
        <f t="shared" si="0"/>
        <v>729.86400000000003</v>
      </c>
    </row>
    <row r="7" spans="2:8" x14ac:dyDescent="0.25">
      <c r="B7" s="41">
        <v>4</v>
      </c>
      <c r="C7" s="41">
        <v>104.1</v>
      </c>
      <c r="D7" s="152" t="s">
        <v>313</v>
      </c>
      <c r="E7" s="41" t="s">
        <v>157</v>
      </c>
      <c r="F7" s="48">
        <v>1</v>
      </c>
      <c r="G7" s="50">
        <v>2003.6613836898032</v>
      </c>
      <c r="H7" s="50">
        <f t="shared" si="0"/>
        <v>2003.6613836898032</v>
      </c>
    </row>
    <row r="8" spans="2:8" x14ac:dyDescent="0.25">
      <c r="B8" s="41">
        <v>5</v>
      </c>
      <c r="C8" s="41" t="s">
        <v>458</v>
      </c>
      <c r="D8" s="152" t="s">
        <v>567</v>
      </c>
      <c r="E8" s="41" t="s">
        <v>158</v>
      </c>
      <c r="F8" s="48">
        <v>1</v>
      </c>
      <c r="G8" s="50">
        <v>2940.3840000000005</v>
      </c>
      <c r="H8" s="50">
        <f t="shared" si="0"/>
        <v>2940.3840000000005</v>
      </c>
    </row>
    <row r="9" spans="2:8" x14ac:dyDescent="0.25">
      <c r="B9" s="41">
        <v>6</v>
      </c>
      <c r="C9" s="41">
        <v>123.1</v>
      </c>
      <c r="D9" s="152" t="s">
        <v>310</v>
      </c>
      <c r="E9" s="41" t="s">
        <v>157</v>
      </c>
      <c r="F9" s="48">
        <v>6</v>
      </c>
      <c r="G9" s="50">
        <v>39.239582178876212</v>
      </c>
      <c r="H9" s="50">
        <f t="shared" si="0"/>
        <v>235.43749307325726</v>
      </c>
    </row>
    <row r="10" spans="2:8" x14ac:dyDescent="0.25">
      <c r="B10" s="41">
        <v>7</v>
      </c>
      <c r="C10" s="41">
        <v>4.0999999999999996</v>
      </c>
      <c r="D10" s="152" t="s">
        <v>450</v>
      </c>
      <c r="E10" s="41" t="s">
        <v>158</v>
      </c>
      <c r="F10" s="48">
        <v>1</v>
      </c>
      <c r="G10" s="50">
        <v>16189.192083570191</v>
      </c>
      <c r="H10" s="50">
        <f t="shared" si="0"/>
        <v>16189.192083570191</v>
      </c>
    </row>
    <row r="11" spans="2:8" ht="25.5" x14ac:dyDescent="0.25">
      <c r="B11" s="41">
        <v>8</v>
      </c>
      <c r="C11" s="41" t="s">
        <v>454</v>
      </c>
      <c r="D11" s="152" t="s">
        <v>318</v>
      </c>
      <c r="E11" s="41" t="s">
        <v>158</v>
      </c>
      <c r="F11" s="48">
        <v>2</v>
      </c>
      <c r="G11" s="50">
        <v>3495.5103999999997</v>
      </c>
      <c r="H11" s="50">
        <f t="shared" si="0"/>
        <v>6991.0207999999993</v>
      </c>
    </row>
    <row r="12" spans="2:8" ht="25.5" x14ac:dyDescent="0.25">
      <c r="B12" s="41">
        <v>9</v>
      </c>
      <c r="C12" s="41" t="s">
        <v>453</v>
      </c>
      <c r="D12" s="152" t="s">
        <v>315</v>
      </c>
      <c r="E12" s="41" t="s">
        <v>316</v>
      </c>
      <c r="F12" s="48">
        <v>4</v>
      </c>
      <c r="G12" s="50">
        <v>127.53</v>
      </c>
      <c r="H12" s="50">
        <f t="shared" si="0"/>
        <v>510.12</v>
      </c>
    </row>
    <row r="13" spans="2:8" x14ac:dyDescent="0.25">
      <c r="B13" s="41">
        <v>10</v>
      </c>
      <c r="C13" s="41">
        <v>82.1</v>
      </c>
      <c r="D13" s="152" t="s">
        <v>568</v>
      </c>
      <c r="E13" s="41" t="s">
        <v>158</v>
      </c>
      <c r="F13" s="48">
        <v>1</v>
      </c>
      <c r="G13" s="50">
        <v>3456.121134877536</v>
      </c>
      <c r="H13" s="50">
        <f t="shared" si="0"/>
        <v>3456.121134877536</v>
      </c>
    </row>
    <row r="14" spans="2:8" ht="25.5" x14ac:dyDescent="0.25">
      <c r="B14" s="41">
        <v>11</v>
      </c>
      <c r="C14" s="41" t="s">
        <v>458</v>
      </c>
      <c r="D14" s="152" t="s">
        <v>569</v>
      </c>
      <c r="E14" s="41" t="s">
        <v>158</v>
      </c>
      <c r="F14" s="48">
        <v>1</v>
      </c>
      <c r="G14" s="50">
        <v>2940.3840000000005</v>
      </c>
      <c r="H14" s="50">
        <f>F14*G14</f>
        <v>2940.3840000000005</v>
      </c>
    </row>
    <row r="15" spans="2:8" x14ac:dyDescent="0.25">
      <c r="B15" s="41">
        <v>12</v>
      </c>
      <c r="C15" s="41" t="s">
        <v>464</v>
      </c>
      <c r="D15" s="152" t="s">
        <v>570</v>
      </c>
      <c r="E15" s="41" t="s">
        <v>250</v>
      </c>
      <c r="F15" s="48">
        <v>4</v>
      </c>
      <c r="G15" s="50">
        <v>58.860000000000007</v>
      </c>
      <c r="H15" s="50">
        <f>F15*G15</f>
        <v>235.44000000000003</v>
      </c>
    </row>
    <row r="16" spans="2:8" x14ac:dyDescent="0.25">
      <c r="B16" s="41">
        <v>13</v>
      </c>
      <c r="C16" s="41">
        <v>23.1</v>
      </c>
      <c r="D16" s="152" t="s">
        <v>309</v>
      </c>
      <c r="E16" s="41" t="s">
        <v>234</v>
      </c>
      <c r="F16" s="50">
        <v>0.2</v>
      </c>
      <c r="G16" s="237">
        <v>38308.971184750095</v>
      </c>
      <c r="H16" s="237">
        <f t="shared" si="0"/>
        <v>7661.7942369500197</v>
      </c>
    </row>
    <row r="17" spans="2:8" x14ac:dyDescent="0.25">
      <c r="B17" s="41">
        <v>14</v>
      </c>
      <c r="C17" s="41">
        <v>101.1</v>
      </c>
      <c r="D17" s="152" t="s">
        <v>311</v>
      </c>
      <c r="E17" s="41" t="s">
        <v>157</v>
      </c>
      <c r="F17" s="48">
        <v>6</v>
      </c>
      <c r="G17" s="50">
        <v>154.69497662030849</v>
      </c>
      <c r="H17" s="50">
        <f t="shared" si="0"/>
        <v>928.16985972185103</v>
      </c>
    </row>
    <row r="18" spans="2:8" x14ac:dyDescent="0.25">
      <c r="B18" s="41">
        <v>15</v>
      </c>
      <c r="C18" s="41">
        <v>102.1</v>
      </c>
      <c r="D18" s="152" t="s">
        <v>312</v>
      </c>
      <c r="E18" s="41" t="s">
        <v>157</v>
      </c>
      <c r="F18" s="48">
        <v>6</v>
      </c>
      <c r="G18" s="50">
        <v>229.02385941322578</v>
      </c>
      <c r="H18" s="50">
        <f t="shared" si="0"/>
        <v>1374.1431564793547</v>
      </c>
    </row>
    <row r="19" spans="2:8" ht="25.5" x14ac:dyDescent="0.25">
      <c r="B19" s="41">
        <v>16</v>
      </c>
      <c r="C19" s="41">
        <v>185.1</v>
      </c>
      <c r="D19" s="42" t="s">
        <v>336</v>
      </c>
      <c r="E19" s="41" t="s">
        <v>157</v>
      </c>
      <c r="F19" s="48">
        <v>1</v>
      </c>
      <c r="G19" s="50">
        <v>455388.64066152152</v>
      </c>
      <c r="H19" s="50">
        <f t="shared" si="0"/>
        <v>455388.64066152152</v>
      </c>
    </row>
    <row r="20" spans="2:8" ht="25.5" x14ac:dyDescent="0.25">
      <c r="B20" s="41">
        <v>17</v>
      </c>
      <c r="C20" s="41">
        <v>108.1</v>
      </c>
      <c r="D20" s="82" t="s">
        <v>475</v>
      </c>
      <c r="E20" s="41" t="s">
        <v>157</v>
      </c>
      <c r="F20" s="42">
        <v>1</v>
      </c>
      <c r="G20" s="50">
        <v>11126.282182930114</v>
      </c>
      <c r="H20" s="50">
        <f t="shared" si="0"/>
        <v>11126.282182930114</v>
      </c>
    </row>
    <row r="21" spans="2:8" ht="25.5" x14ac:dyDescent="0.25">
      <c r="B21" s="41">
        <v>18</v>
      </c>
      <c r="C21" s="41" t="s">
        <v>476</v>
      </c>
      <c r="D21" s="57" t="s">
        <v>477</v>
      </c>
      <c r="E21" s="41" t="s">
        <v>157</v>
      </c>
      <c r="F21" s="48">
        <v>1</v>
      </c>
      <c r="G21" s="50">
        <v>58737.214909998722</v>
      </c>
      <c r="H21" s="50">
        <f t="shared" si="0"/>
        <v>58737.214909998722</v>
      </c>
    </row>
    <row r="22" spans="2:8" x14ac:dyDescent="0.25">
      <c r="B22" s="41">
        <v>19</v>
      </c>
      <c r="C22" s="41">
        <v>17.100000000000001</v>
      </c>
      <c r="D22" s="42" t="s">
        <v>244</v>
      </c>
      <c r="E22" s="41" t="s">
        <v>222</v>
      </c>
      <c r="F22" s="48">
        <v>10</v>
      </c>
      <c r="G22" s="50">
        <v>258.22244052676297</v>
      </c>
      <c r="H22" s="50">
        <f t="shared" si="0"/>
        <v>2582.2244052676297</v>
      </c>
    </row>
    <row r="23" spans="2:8" x14ac:dyDescent="0.25">
      <c r="B23" s="41">
        <v>20</v>
      </c>
      <c r="C23" s="41">
        <v>18.100000000000001</v>
      </c>
      <c r="D23" s="42" t="s">
        <v>301</v>
      </c>
      <c r="E23" s="41" t="s">
        <v>222</v>
      </c>
      <c r="F23" s="48">
        <v>10</v>
      </c>
      <c r="G23" s="50">
        <v>72.887734862758151</v>
      </c>
      <c r="H23" s="50">
        <f t="shared" si="0"/>
        <v>728.87734862758157</v>
      </c>
    </row>
    <row r="24" spans="2:8" x14ac:dyDescent="0.25">
      <c r="B24" s="41">
        <v>21</v>
      </c>
      <c r="C24" s="41">
        <v>122.1</v>
      </c>
      <c r="D24" s="42" t="s">
        <v>302</v>
      </c>
      <c r="E24" s="41" t="s">
        <v>222</v>
      </c>
      <c r="F24" s="48">
        <v>20</v>
      </c>
      <c r="G24" s="50">
        <v>75.281771306660772</v>
      </c>
      <c r="H24" s="50">
        <f t="shared" si="0"/>
        <v>1505.6354261332153</v>
      </c>
    </row>
    <row r="25" spans="2:8" x14ac:dyDescent="0.25">
      <c r="B25" s="41">
        <v>22</v>
      </c>
      <c r="C25" s="41">
        <v>124.1</v>
      </c>
      <c r="D25" s="42" t="s">
        <v>303</v>
      </c>
      <c r="E25" s="41" t="s">
        <v>222</v>
      </c>
      <c r="F25" s="48">
        <v>10</v>
      </c>
      <c r="G25" s="50">
        <v>248.75177003681679</v>
      </c>
      <c r="H25" s="50">
        <f t="shared" si="0"/>
        <v>2487.5177003681679</v>
      </c>
    </row>
    <row r="26" spans="2:8" x14ac:dyDescent="0.25">
      <c r="B26" s="41">
        <v>23</v>
      </c>
      <c r="C26" s="41">
        <v>119.1</v>
      </c>
      <c r="D26" s="42" t="s">
        <v>571</v>
      </c>
      <c r="E26" s="41" t="s">
        <v>157</v>
      </c>
      <c r="F26" s="48">
        <v>2</v>
      </c>
      <c r="G26" s="50">
        <v>281.71814764841946</v>
      </c>
      <c r="H26" s="50">
        <f t="shared" si="0"/>
        <v>563.43629529683892</v>
      </c>
    </row>
    <row r="27" spans="2:8" x14ac:dyDescent="0.25">
      <c r="B27" s="41">
        <v>24</v>
      </c>
      <c r="C27" s="41">
        <v>136.1</v>
      </c>
      <c r="D27" s="42" t="s">
        <v>249</v>
      </c>
      <c r="E27" s="41" t="s">
        <v>222</v>
      </c>
      <c r="F27" s="48">
        <v>10</v>
      </c>
      <c r="G27" s="50">
        <v>75.002923647812892</v>
      </c>
      <c r="H27" s="50">
        <f t="shared" si="0"/>
        <v>750.02923647812895</v>
      </c>
    </row>
    <row r="28" spans="2:8" x14ac:dyDescent="0.25">
      <c r="B28" s="41">
        <v>25</v>
      </c>
      <c r="C28" s="41">
        <v>137.1</v>
      </c>
      <c r="D28" s="42" t="s">
        <v>304</v>
      </c>
      <c r="E28" s="41" t="s">
        <v>305</v>
      </c>
      <c r="F28" s="48">
        <v>5</v>
      </c>
      <c r="G28" s="50">
        <v>281.36521558197234</v>
      </c>
      <c r="H28" s="50">
        <f t="shared" si="0"/>
        <v>1406.8260779098616</v>
      </c>
    </row>
    <row r="29" spans="2:8" x14ac:dyDescent="0.25">
      <c r="B29" s="41">
        <v>26</v>
      </c>
      <c r="C29" s="41">
        <v>138.1</v>
      </c>
      <c r="D29" s="42" t="s">
        <v>306</v>
      </c>
      <c r="E29" s="41" t="s">
        <v>305</v>
      </c>
      <c r="F29" s="48">
        <v>8</v>
      </c>
      <c r="G29" s="50">
        <v>158.11743185527106</v>
      </c>
      <c r="H29" s="50">
        <f t="shared" si="0"/>
        <v>1264.9394548421685</v>
      </c>
    </row>
    <row r="30" spans="2:8" ht="25.5" x14ac:dyDescent="0.25">
      <c r="B30" s="41">
        <v>27</v>
      </c>
      <c r="C30" s="41" t="s">
        <v>426</v>
      </c>
      <c r="D30" s="152" t="s">
        <v>427</v>
      </c>
      <c r="E30" s="41" t="s">
        <v>157</v>
      </c>
      <c r="F30" s="48">
        <v>7</v>
      </c>
      <c r="G30" s="50">
        <v>1080</v>
      </c>
      <c r="H30" s="50">
        <f>F30*G30</f>
        <v>7560</v>
      </c>
    </row>
    <row r="31" spans="2:8" x14ac:dyDescent="0.25">
      <c r="B31" s="41">
        <v>28</v>
      </c>
      <c r="C31" s="41">
        <v>133.1</v>
      </c>
      <c r="D31" s="42" t="s">
        <v>253</v>
      </c>
      <c r="E31" s="41" t="s">
        <v>157</v>
      </c>
      <c r="F31" s="48">
        <v>2</v>
      </c>
      <c r="G31" s="50">
        <v>60.758062728582523</v>
      </c>
      <c r="H31" s="50">
        <f t="shared" si="0"/>
        <v>121.51612545716505</v>
      </c>
    </row>
    <row r="32" spans="2:8" x14ac:dyDescent="0.25">
      <c r="B32" s="94" t="s">
        <v>74</v>
      </c>
      <c r="C32" s="450" t="s">
        <v>254</v>
      </c>
      <c r="D32" s="450"/>
      <c r="E32" s="450"/>
      <c r="F32" s="450"/>
      <c r="G32" s="450"/>
      <c r="H32" s="242">
        <f>SUM(H4:H31)</f>
        <v>606919.44650584541</v>
      </c>
    </row>
    <row r="33" spans="2:8" x14ac:dyDescent="0.25">
      <c r="B33" s="41" t="s">
        <v>75</v>
      </c>
      <c r="C33" s="446" t="s">
        <v>255</v>
      </c>
      <c r="D33" s="446"/>
      <c r="E33" s="446"/>
      <c r="F33" s="52" t="s">
        <v>227</v>
      </c>
      <c r="G33" s="53">
        <v>0.03</v>
      </c>
      <c r="H33" s="237">
        <f t="shared" ref="H33:H38" si="1">G33*$H$32</f>
        <v>18207.583395175363</v>
      </c>
    </row>
    <row r="34" spans="2:8" x14ac:dyDescent="0.25">
      <c r="B34" s="41" t="s">
        <v>76</v>
      </c>
      <c r="C34" s="446" t="s">
        <v>256</v>
      </c>
      <c r="D34" s="446"/>
      <c r="E34" s="446"/>
      <c r="F34" s="52" t="s">
        <v>227</v>
      </c>
      <c r="G34" s="53">
        <v>0.03</v>
      </c>
      <c r="H34" s="237">
        <f t="shared" si="1"/>
        <v>18207.583395175363</v>
      </c>
    </row>
    <row r="35" spans="2:8" x14ac:dyDescent="0.25">
      <c r="B35" s="41" t="s">
        <v>77</v>
      </c>
      <c r="C35" s="446" t="s">
        <v>257</v>
      </c>
      <c r="D35" s="446"/>
      <c r="E35" s="446"/>
      <c r="F35" s="52" t="s">
        <v>227</v>
      </c>
      <c r="G35" s="53">
        <v>0.03</v>
      </c>
      <c r="H35" s="237">
        <f t="shared" si="1"/>
        <v>18207.583395175363</v>
      </c>
    </row>
    <row r="36" spans="2:8" x14ac:dyDescent="0.25">
      <c r="B36" s="41" t="s">
        <v>78</v>
      </c>
      <c r="C36" s="446" t="s">
        <v>258</v>
      </c>
      <c r="D36" s="446"/>
      <c r="E36" s="446"/>
      <c r="F36" s="52" t="s">
        <v>227</v>
      </c>
      <c r="G36" s="53">
        <v>0.04</v>
      </c>
      <c r="H36" s="237">
        <f t="shared" si="1"/>
        <v>24276.777860233819</v>
      </c>
    </row>
    <row r="37" spans="2:8" x14ac:dyDescent="0.25">
      <c r="B37" s="41" t="s">
        <v>213</v>
      </c>
      <c r="C37" s="446" t="s">
        <v>259</v>
      </c>
      <c r="D37" s="446"/>
      <c r="E37" s="446"/>
      <c r="F37" s="52" t="s">
        <v>227</v>
      </c>
      <c r="G37" s="53">
        <v>0.02</v>
      </c>
      <c r="H37" s="237">
        <f t="shared" si="1"/>
        <v>12138.388930116909</v>
      </c>
    </row>
    <row r="38" spans="2:8" x14ac:dyDescent="0.25">
      <c r="B38" s="41" t="s">
        <v>92</v>
      </c>
      <c r="C38" s="446" t="s">
        <v>260</v>
      </c>
      <c r="D38" s="446"/>
      <c r="E38" s="446"/>
      <c r="F38" s="52" t="s">
        <v>227</v>
      </c>
      <c r="G38" s="53">
        <v>0.1</v>
      </c>
      <c r="H38" s="237">
        <f t="shared" si="1"/>
        <v>60691.944650584541</v>
      </c>
    </row>
    <row r="39" spans="2:8" ht="15" customHeight="1" x14ac:dyDescent="0.25">
      <c r="B39" s="352" t="s">
        <v>93</v>
      </c>
      <c r="C39" s="451" t="s">
        <v>261</v>
      </c>
      <c r="D39" s="452"/>
      <c r="E39" s="453"/>
      <c r="F39" s="457" t="s">
        <v>144</v>
      </c>
      <c r="G39" s="458"/>
      <c r="H39" s="50">
        <f>'DSS labour'!Z29</f>
        <v>44835.376147263931</v>
      </c>
    </row>
    <row r="40" spans="2:8" x14ac:dyDescent="0.25">
      <c r="B40" s="353"/>
      <c r="C40" s="454"/>
      <c r="D40" s="455"/>
      <c r="E40" s="456"/>
      <c r="F40" s="457" t="s">
        <v>145</v>
      </c>
      <c r="G40" s="458"/>
      <c r="H40" s="50">
        <f>'DSS labour'!AA29</f>
        <v>45372.594671849336</v>
      </c>
    </row>
    <row r="41" spans="2:8" x14ac:dyDescent="0.25">
      <c r="B41" s="331" t="s">
        <v>94</v>
      </c>
      <c r="C41" s="355" t="s">
        <v>262</v>
      </c>
      <c r="D41" s="355"/>
      <c r="E41" s="355"/>
      <c r="F41" s="446" t="s">
        <v>144</v>
      </c>
      <c r="G41" s="446"/>
      <c r="H41" s="238">
        <f>SUM(H32:H39)</f>
        <v>803484.68427957082</v>
      </c>
    </row>
    <row r="42" spans="2:8" ht="15" customHeight="1" x14ac:dyDescent="0.25">
      <c r="B42" s="331"/>
      <c r="C42" s="355"/>
      <c r="D42" s="355"/>
      <c r="E42" s="355"/>
      <c r="F42" s="446" t="s">
        <v>145</v>
      </c>
      <c r="G42" s="446"/>
      <c r="H42" s="238">
        <f>SUM(H32:H38,H40)</f>
        <v>804021.9028041563</v>
      </c>
    </row>
  </sheetData>
  <mergeCells count="16">
    <mergeCell ref="B39:B40"/>
    <mergeCell ref="C39:E40"/>
    <mergeCell ref="F39:G39"/>
    <mergeCell ref="F40:G40"/>
    <mergeCell ref="B41:B42"/>
    <mergeCell ref="C41:E42"/>
    <mergeCell ref="F41:G41"/>
    <mergeCell ref="F42:G42"/>
    <mergeCell ref="C36:E36"/>
    <mergeCell ref="C37:E37"/>
    <mergeCell ref="C38:E38"/>
    <mergeCell ref="D2:H2"/>
    <mergeCell ref="C32:G32"/>
    <mergeCell ref="C33:E33"/>
    <mergeCell ref="C34:E34"/>
    <mergeCell ref="C35:E35"/>
  </mergeCells>
  <pageMargins left="0.7" right="0.7" top="0.75" bottom="0.75" header="0.3" footer="0.3"/>
  <pageSetup paperSize="9" scale="92"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4"/>
  <sheetViews>
    <sheetView zoomScaleNormal="100" workbookViewId="0"/>
  </sheetViews>
  <sheetFormatPr defaultRowHeight="15" x14ac:dyDescent="0.25"/>
  <cols>
    <col min="1" max="1" width="9.140625" style="46"/>
    <col min="2" max="2" width="5" style="46" bestFit="1" customWidth="1"/>
    <col min="3" max="3" width="6.42578125" style="54" customWidth="1"/>
    <col min="4" max="4" width="49.140625" style="46" customWidth="1"/>
    <col min="5" max="5" width="5.85546875" style="54" customWidth="1"/>
    <col min="6" max="6" width="5.5703125" style="46" customWidth="1"/>
    <col min="7" max="7" width="10.7109375" style="46" bestFit="1" customWidth="1"/>
    <col min="8" max="8" width="10" style="46" customWidth="1"/>
    <col min="9" max="16384" width="9.140625" style="46"/>
  </cols>
  <sheetData>
    <row r="2" spans="2:8" ht="51.75" customHeight="1" x14ac:dyDescent="0.25">
      <c r="C2" s="95"/>
      <c r="D2" s="447" t="s">
        <v>337</v>
      </c>
      <c r="E2" s="448"/>
      <c r="F2" s="448"/>
      <c r="G2" s="448"/>
      <c r="H2" s="449"/>
    </row>
    <row r="3" spans="2:8" ht="25.5" x14ac:dyDescent="0.25">
      <c r="B3" s="79" t="s">
        <v>114</v>
      </c>
      <c r="C3" s="79" t="s">
        <v>229</v>
      </c>
      <c r="D3" s="79" t="s">
        <v>230</v>
      </c>
      <c r="E3" s="79" t="s">
        <v>0</v>
      </c>
      <c r="F3" s="79" t="s">
        <v>107</v>
      </c>
      <c r="G3" s="79" t="s">
        <v>231</v>
      </c>
      <c r="H3" s="79" t="s">
        <v>232</v>
      </c>
    </row>
    <row r="4" spans="2:8" x14ac:dyDescent="0.25">
      <c r="B4" s="41">
        <v>1</v>
      </c>
      <c r="C4" s="41">
        <v>165.1</v>
      </c>
      <c r="D4" s="42" t="s">
        <v>338</v>
      </c>
      <c r="E4" s="41" t="s">
        <v>157</v>
      </c>
      <c r="F4" s="42">
        <v>20</v>
      </c>
      <c r="G4" s="50">
        <v>2676.3844323438707</v>
      </c>
      <c r="H4" s="50">
        <f t="shared" ref="H4:H23" si="0">F4*G4</f>
        <v>53527.688646877417</v>
      </c>
    </row>
    <row r="5" spans="2:8" x14ac:dyDescent="0.25">
      <c r="B5" s="41">
        <v>2</v>
      </c>
      <c r="C5" s="41">
        <v>24.1</v>
      </c>
      <c r="D5" s="42" t="s">
        <v>339</v>
      </c>
      <c r="E5" s="41" t="s">
        <v>234</v>
      </c>
      <c r="F5" s="42">
        <v>4.2</v>
      </c>
      <c r="G5" s="50">
        <v>20151.424138313203</v>
      </c>
      <c r="H5" s="50">
        <f t="shared" si="0"/>
        <v>84635.981380915458</v>
      </c>
    </row>
    <row r="6" spans="2:8" x14ac:dyDescent="0.25">
      <c r="B6" s="41">
        <v>3</v>
      </c>
      <c r="C6" s="41">
        <v>95.1</v>
      </c>
      <c r="D6" s="42" t="s">
        <v>340</v>
      </c>
      <c r="E6" s="41" t="s">
        <v>157</v>
      </c>
      <c r="F6" s="42">
        <v>80</v>
      </c>
      <c r="G6" s="50">
        <v>49.967846430453626</v>
      </c>
      <c r="H6" s="50">
        <f t="shared" si="0"/>
        <v>3997.42771443629</v>
      </c>
    </row>
    <row r="7" spans="2:8" x14ac:dyDescent="0.25">
      <c r="B7" s="41">
        <v>4</v>
      </c>
      <c r="C7" s="41">
        <v>97.1</v>
      </c>
      <c r="D7" s="42" t="s">
        <v>341</v>
      </c>
      <c r="E7" s="61" t="s">
        <v>158</v>
      </c>
      <c r="F7" s="42">
        <v>8</v>
      </c>
      <c r="G7" s="50">
        <v>38.810642364475633</v>
      </c>
      <c r="H7" s="50">
        <f t="shared" si="0"/>
        <v>310.48513891580507</v>
      </c>
    </row>
    <row r="8" spans="2:8" x14ac:dyDescent="0.25">
      <c r="B8" s="41">
        <v>5</v>
      </c>
      <c r="C8" s="41" t="s">
        <v>478</v>
      </c>
      <c r="D8" s="85" t="s">
        <v>479</v>
      </c>
      <c r="E8" s="41" t="s">
        <v>158</v>
      </c>
      <c r="F8" s="42">
        <v>20</v>
      </c>
      <c r="G8" s="50">
        <v>245.28749999999999</v>
      </c>
      <c r="H8" s="50">
        <f t="shared" si="0"/>
        <v>4905.75</v>
      </c>
    </row>
    <row r="9" spans="2:8" x14ac:dyDescent="0.25">
      <c r="B9" s="41">
        <v>6</v>
      </c>
      <c r="C9" s="41" t="s">
        <v>480</v>
      </c>
      <c r="D9" s="82" t="s">
        <v>481</v>
      </c>
      <c r="E9" s="41" t="s">
        <v>157</v>
      </c>
      <c r="F9" s="42">
        <v>80</v>
      </c>
      <c r="G9" s="50">
        <v>39.245999999999995</v>
      </c>
      <c r="H9" s="50">
        <f t="shared" si="0"/>
        <v>3139.6799999999994</v>
      </c>
    </row>
    <row r="10" spans="2:8" x14ac:dyDescent="0.25">
      <c r="B10" s="41">
        <v>7</v>
      </c>
      <c r="C10" s="41">
        <v>120.1</v>
      </c>
      <c r="D10" s="42" t="s">
        <v>342</v>
      </c>
      <c r="E10" s="41" t="s">
        <v>158</v>
      </c>
      <c r="F10" s="42">
        <v>95</v>
      </c>
      <c r="G10" s="50">
        <v>34.896209189487173</v>
      </c>
      <c r="H10" s="50">
        <f t="shared" si="0"/>
        <v>3315.1398730012816</v>
      </c>
    </row>
    <row r="11" spans="2:8" x14ac:dyDescent="0.25">
      <c r="B11" s="41">
        <v>8</v>
      </c>
      <c r="C11" s="41" t="s">
        <v>482</v>
      </c>
      <c r="D11" s="82" t="s">
        <v>483</v>
      </c>
      <c r="E11" s="41" t="s">
        <v>250</v>
      </c>
      <c r="F11" s="42">
        <v>22</v>
      </c>
      <c r="G11" s="50">
        <v>65.41</v>
      </c>
      <c r="H11" s="50">
        <f t="shared" si="0"/>
        <v>1439.02</v>
      </c>
    </row>
    <row r="12" spans="2:8" ht="25.5" x14ac:dyDescent="0.25">
      <c r="B12" s="41">
        <v>9</v>
      </c>
      <c r="C12" s="41" t="s">
        <v>456</v>
      </c>
      <c r="D12" s="85" t="s">
        <v>484</v>
      </c>
      <c r="E12" s="41" t="s">
        <v>316</v>
      </c>
      <c r="F12" s="42">
        <v>40</v>
      </c>
      <c r="G12" s="50">
        <v>1225.7833999999998</v>
      </c>
      <c r="H12" s="50">
        <f t="shared" si="0"/>
        <v>49031.335999999996</v>
      </c>
    </row>
    <row r="13" spans="2:8" ht="25.5" x14ac:dyDescent="0.25">
      <c r="B13" s="41">
        <v>10</v>
      </c>
      <c r="C13" s="41" t="s">
        <v>485</v>
      </c>
      <c r="D13" s="82" t="s">
        <v>486</v>
      </c>
      <c r="E13" s="41" t="s">
        <v>222</v>
      </c>
      <c r="F13" s="42">
        <v>176</v>
      </c>
      <c r="G13" s="50">
        <v>695.9624</v>
      </c>
      <c r="H13" s="50">
        <f t="shared" si="0"/>
        <v>122489.3824</v>
      </c>
    </row>
    <row r="14" spans="2:8" ht="25.5" x14ac:dyDescent="0.25">
      <c r="B14" s="41">
        <v>11</v>
      </c>
      <c r="C14" s="72">
        <v>172.1</v>
      </c>
      <c r="D14" s="82" t="s">
        <v>487</v>
      </c>
      <c r="E14" s="41" t="s">
        <v>158</v>
      </c>
      <c r="F14" s="42">
        <v>8</v>
      </c>
      <c r="G14" s="50">
        <v>599.47955225534758</v>
      </c>
      <c r="H14" s="50">
        <f t="shared" si="0"/>
        <v>4795.8364180427807</v>
      </c>
    </row>
    <row r="15" spans="2:8" ht="25.5" x14ac:dyDescent="0.25">
      <c r="B15" s="41">
        <v>12</v>
      </c>
      <c r="C15" s="41" t="s">
        <v>488</v>
      </c>
      <c r="D15" s="82" t="s">
        <v>489</v>
      </c>
      <c r="E15" s="41" t="s">
        <v>250</v>
      </c>
      <c r="F15" s="42">
        <v>16</v>
      </c>
      <c r="G15" s="50">
        <v>107.92649999999999</v>
      </c>
      <c r="H15" s="50">
        <f t="shared" si="0"/>
        <v>1726.8239999999998</v>
      </c>
    </row>
    <row r="16" spans="2:8" x14ac:dyDescent="0.25">
      <c r="B16" s="41">
        <v>13</v>
      </c>
      <c r="C16" s="41" t="s">
        <v>343</v>
      </c>
      <c r="D16" s="42" t="s">
        <v>344</v>
      </c>
      <c r="E16" s="41" t="s">
        <v>157</v>
      </c>
      <c r="F16" s="42">
        <v>8</v>
      </c>
      <c r="G16" s="50">
        <v>9.3044525828835791</v>
      </c>
      <c r="H16" s="50">
        <f t="shared" si="0"/>
        <v>74.435620663068633</v>
      </c>
    </row>
    <row r="17" spans="2:8" x14ac:dyDescent="0.25">
      <c r="B17" s="41">
        <v>14</v>
      </c>
      <c r="C17" s="41">
        <v>133.1</v>
      </c>
      <c r="D17" s="42" t="s">
        <v>490</v>
      </c>
      <c r="E17" s="41" t="s">
        <v>157</v>
      </c>
      <c r="F17" s="42">
        <v>20</v>
      </c>
      <c r="G17" s="50">
        <v>60.758062728582523</v>
      </c>
      <c r="H17" s="50">
        <f t="shared" si="0"/>
        <v>1215.1612545716505</v>
      </c>
    </row>
    <row r="18" spans="2:8" x14ac:dyDescent="0.25">
      <c r="B18" s="41">
        <v>15</v>
      </c>
      <c r="C18" s="41">
        <v>17.100000000000001</v>
      </c>
      <c r="D18" s="42" t="s">
        <v>244</v>
      </c>
      <c r="E18" s="41" t="s">
        <v>222</v>
      </c>
      <c r="F18" s="42">
        <v>5</v>
      </c>
      <c r="G18" s="50">
        <v>258.22244052676297</v>
      </c>
      <c r="H18" s="50">
        <f t="shared" si="0"/>
        <v>1291.1122026338148</v>
      </c>
    </row>
    <row r="19" spans="2:8" x14ac:dyDescent="0.25">
      <c r="B19" s="41">
        <v>16</v>
      </c>
      <c r="C19" s="41">
        <v>19.100000000000001</v>
      </c>
      <c r="D19" s="42" t="s">
        <v>345</v>
      </c>
      <c r="E19" s="41" t="s">
        <v>222</v>
      </c>
      <c r="F19" s="42">
        <v>100</v>
      </c>
      <c r="G19" s="50">
        <v>73.140893457460592</v>
      </c>
      <c r="H19" s="50">
        <f t="shared" si="0"/>
        <v>7314.0893457460588</v>
      </c>
    </row>
    <row r="20" spans="2:8" x14ac:dyDescent="0.25">
      <c r="B20" s="41">
        <v>17</v>
      </c>
      <c r="C20" s="41">
        <v>122.1</v>
      </c>
      <c r="D20" s="42" t="s">
        <v>302</v>
      </c>
      <c r="E20" s="41" t="s">
        <v>222</v>
      </c>
      <c r="F20" s="42">
        <v>15</v>
      </c>
      <c r="G20" s="50">
        <v>75.281771306660772</v>
      </c>
      <c r="H20" s="50">
        <f t="shared" si="0"/>
        <v>1129.2265695999115</v>
      </c>
    </row>
    <row r="21" spans="2:8" x14ac:dyDescent="0.25">
      <c r="B21" s="41">
        <v>18</v>
      </c>
      <c r="C21" s="41">
        <v>124.1</v>
      </c>
      <c r="D21" s="42" t="s">
        <v>303</v>
      </c>
      <c r="E21" s="41" t="s">
        <v>222</v>
      </c>
      <c r="F21" s="42">
        <v>2</v>
      </c>
      <c r="G21" s="50">
        <v>248.75177003681679</v>
      </c>
      <c r="H21" s="50">
        <f t="shared" si="0"/>
        <v>497.50354007363359</v>
      </c>
    </row>
    <row r="22" spans="2:8" x14ac:dyDescent="0.25">
      <c r="B22" s="41">
        <v>19</v>
      </c>
      <c r="C22" s="72">
        <v>119.1</v>
      </c>
      <c r="D22" s="152" t="s">
        <v>491</v>
      </c>
      <c r="E22" s="41" t="s">
        <v>157</v>
      </c>
      <c r="F22" s="42">
        <v>28</v>
      </c>
      <c r="G22" s="50">
        <v>281.71814764841946</v>
      </c>
      <c r="H22" s="50">
        <f t="shared" si="0"/>
        <v>7888.1081341557447</v>
      </c>
    </row>
    <row r="23" spans="2:8" x14ac:dyDescent="0.25">
      <c r="B23" s="41">
        <v>20</v>
      </c>
      <c r="C23" s="41">
        <v>136.1</v>
      </c>
      <c r="D23" s="42" t="s">
        <v>249</v>
      </c>
      <c r="E23" s="41" t="s">
        <v>222</v>
      </c>
      <c r="F23" s="42">
        <v>5</v>
      </c>
      <c r="G23" s="50">
        <v>75.002923647812892</v>
      </c>
      <c r="H23" s="50">
        <f t="shared" si="0"/>
        <v>375.01461823906448</v>
      </c>
    </row>
    <row r="24" spans="2:8" ht="15" customHeight="1" x14ac:dyDescent="0.25">
      <c r="B24" s="79" t="s">
        <v>74</v>
      </c>
      <c r="C24" s="450" t="s">
        <v>254</v>
      </c>
      <c r="D24" s="450"/>
      <c r="E24" s="450"/>
      <c r="F24" s="450"/>
      <c r="G24" s="450"/>
      <c r="H24" s="127">
        <f>SUM(H4:H23)</f>
        <v>353099.20285787195</v>
      </c>
    </row>
    <row r="25" spans="2:8" x14ac:dyDescent="0.25">
      <c r="B25" s="41" t="s">
        <v>75</v>
      </c>
      <c r="C25" s="446" t="s">
        <v>255</v>
      </c>
      <c r="D25" s="446"/>
      <c r="E25" s="446"/>
      <c r="F25" s="52" t="s">
        <v>227</v>
      </c>
      <c r="G25" s="53">
        <v>0.03</v>
      </c>
      <c r="H25" s="50">
        <f t="shared" ref="H25:H30" si="1">G25*$H$24</f>
        <v>10592.976085736158</v>
      </c>
    </row>
    <row r="26" spans="2:8" x14ac:dyDescent="0.25">
      <c r="B26" s="41" t="s">
        <v>76</v>
      </c>
      <c r="C26" s="446" t="s">
        <v>256</v>
      </c>
      <c r="D26" s="446"/>
      <c r="E26" s="446"/>
      <c r="F26" s="52" t="s">
        <v>227</v>
      </c>
      <c r="G26" s="53">
        <v>0.03</v>
      </c>
      <c r="H26" s="50">
        <f t="shared" si="1"/>
        <v>10592.976085736158</v>
      </c>
    </row>
    <row r="27" spans="2:8" x14ac:dyDescent="0.25">
      <c r="B27" s="41" t="s">
        <v>77</v>
      </c>
      <c r="C27" s="446" t="s">
        <v>257</v>
      </c>
      <c r="D27" s="446"/>
      <c r="E27" s="446"/>
      <c r="F27" s="52" t="s">
        <v>227</v>
      </c>
      <c r="G27" s="53">
        <v>0.03</v>
      </c>
      <c r="H27" s="50">
        <f t="shared" si="1"/>
        <v>10592.976085736158</v>
      </c>
    </row>
    <row r="28" spans="2:8" x14ac:dyDescent="0.25">
      <c r="B28" s="41" t="s">
        <v>78</v>
      </c>
      <c r="C28" s="446" t="s">
        <v>258</v>
      </c>
      <c r="D28" s="446"/>
      <c r="E28" s="446"/>
      <c r="F28" s="52" t="s">
        <v>227</v>
      </c>
      <c r="G28" s="53">
        <v>0.04</v>
      </c>
      <c r="H28" s="50">
        <f t="shared" si="1"/>
        <v>14123.968114314877</v>
      </c>
    </row>
    <row r="29" spans="2:8" x14ac:dyDescent="0.25">
      <c r="B29" s="41" t="s">
        <v>213</v>
      </c>
      <c r="C29" s="446" t="s">
        <v>259</v>
      </c>
      <c r="D29" s="446"/>
      <c r="E29" s="446"/>
      <c r="F29" s="52" t="s">
        <v>227</v>
      </c>
      <c r="G29" s="53">
        <v>0.02</v>
      </c>
      <c r="H29" s="50">
        <f t="shared" si="1"/>
        <v>7061.9840571574387</v>
      </c>
    </row>
    <row r="30" spans="2:8" x14ac:dyDescent="0.25">
      <c r="B30" s="41" t="s">
        <v>92</v>
      </c>
      <c r="C30" s="446" t="s">
        <v>260</v>
      </c>
      <c r="D30" s="446"/>
      <c r="E30" s="446"/>
      <c r="F30" s="52" t="s">
        <v>227</v>
      </c>
      <c r="G30" s="53">
        <v>0.1</v>
      </c>
      <c r="H30" s="50">
        <f t="shared" si="1"/>
        <v>35309.920285787193</v>
      </c>
    </row>
    <row r="31" spans="2:8" x14ac:dyDescent="0.25">
      <c r="B31" s="352" t="s">
        <v>93</v>
      </c>
      <c r="C31" s="451" t="s">
        <v>261</v>
      </c>
      <c r="D31" s="452"/>
      <c r="E31" s="453"/>
      <c r="F31" s="457" t="s">
        <v>144</v>
      </c>
      <c r="G31" s="458"/>
      <c r="H31" s="50">
        <f>'LT line labour'!K39</f>
        <v>128615.215643191</v>
      </c>
    </row>
    <row r="32" spans="2:8" x14ac:dyDescent="0.25">
      <c r="B32" s="353"/>
      <c r="C32" s="454"/>
      <c r="D32" s="455"/>
      <c r="E32" s="456"/>
      <c r="F32" s="457" t="s">
        <v>145</v>
      </c>
      <c r="G32" s="458"/>
      <c r="H32" s="50">
        <f>'LT line labour'!L39</f>
        <v>132443.31657322531</v>
      </c>
    </row>
    <row r="33" spans="2:8" x14ac:dyDescent="0.25">
      <c r="B33" s="331" t="s">
        <v>94</v>
      </c>
      <c r="C33" s="355" t="s">
        <v>262</v>
      </c>
      <c r="D33" s="355"/>
      <c r="E33" s="355"/>
      <c r="F33" s="446" t="s">
        <v>144</v>
      </c>
      <c r="G33" s="446"/>
      <c r="H33" s="128">
        <f>SUM(H24:H31)</f>
        <v>569989.21921553102</v>
      </c>
    </row>
    <row r="34" spans="2:8" x14ac:dyDescent="0.25">
      <c r="B34" s="331"/>
      <c r="C34" s="355"/>
      <c r="D34" s="355"/>
      <c r="E34" s="355"/>
      <c r="F34" s="446" t="s">
        <v>145</v>
      </c>
      <c r="G34" s="446"/>
      <c r="H34" s="128">
        <f>SUM(H24:H30,H32)</f>
        <v>573817.32014556532</v>
      </c>
    </row>
  </sheetData>
  <mergeCells count="16">
    <mergeCell ref="B31:B32"/>
    <mergeCell ref="C31:E32"/>
    <mergeCell ref="F31:G31"/>
    <mergeCell ref="F32:G32"/>
    <mergeCell ref="B33:B34"/>
    <mergeCell ref="C33:E34"/>
    <mergeCell ref="F33:G33"/>
    <mergeCell ref="F34:G34"/>
    <mergeCell ref="D2:H2"/>
    <mergeCell ref="C29:E29"/>
    <mergeCell ref="C30:E30"/>
    <mergeCell ref="C24:G24"/>
    <mergeCell ref="C25:E25"/>
    <mergeCell ref="C26:E26"/>
    <mergeCell ref="C27:E27"/>
    <mergeCell ref="C28:E28"/>
  </mergeCells>
  <pageMargins left="0.7" right="0.7" top="0.75" bottom="0.75" header="0.3" footer="0.3"/>
  <pageSetup paperSize="9" scale="92"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4"/>
  <sheetViews>
    <sheetView zoomScaleNormal="100" workbookViewId="0"/>
  </sheetViews>
  <sheetFormatPr defaultRowHeight="15" x14ac:dyDescent="0.25"/>
  <cols>
    <col min="1" max="1" width="9.140625" style="46"/>
    <col min="2" max="2" width="5" style="46" bestFit="1" customWidth="1"/>
    <col min="3" max="3" width="6.140625" style="54" customWidth="1"/>
    <col min="4" max="4" width="49.140625" style="46" customWidth="1"/>
    <col min="5" max="5" width="5.85546875" style="54" customWidth="1"/>
    <col min="6" max="6" width="5.5703125" style="46" customWidth="1"/>
    <col min="7" max="7" width="10.7109375" style="46" bestFit="1" customWidth="1"/>
    <col min="8" max="8" width="10" style="46" customWidth="1"/>
    <col min="9" max="16384" width="9.140625" style="46"/>
  </cols>
  <sheetData>
    <row r="2" spans="2:8" ht="50.25" customHeight="1" x14ac:dyDescent="0.25">
      <c r="C2" s="95"/>
      <c r="D2" s="447" t="s">
        <v>346</v>
      </c>
      <c r="E2" s="448"/>
      <c r="F2" s="448"/>
      <c r="G2" s="448"/>
      <c r="H2" s="449"/>
    </row>
    <row r="3" spans="2:8" ht="25.5" x14ac:dyDescent="0.25">
      <c r="B3" s="79" t="s">
        <v>114</v>
      </c>
      <c r="C3" s="79" t="s">
        <v>229</v>
      </c>
      <c r="D3" s="79" t="s">
        <v>230</v>
      </c>
      <c r="E3" s="79" t="s">
        <v>0</v>
      </c>
      <c r="F3" s="79" t="s">
        <v>107</v>
      </c>
      <c r="G3" s="79" t="s">
        <v>231</v>
      </c>
      <c r="H3" s="79" t="s">
        <v>232</v>
      </c>
    </row>
    <row r="4" spans="2:8" x14ac:dyDescent="0.25">
      <c r="B4" s="41">
        <v>1</v>
      </c>
      <c r="C4" s="41">
        <v>165.1</v>
      </c>
      <c r="D4" s="42" t="s">
        <v>338</v>
      </c>
      <c r="E4" s="41" t="s">
        <v>157</v>
      </c>
      <c r="F4" s="42">
        <v>20</v>
      </c>
      <c r="G4" s="50">
        <v>2676.3844323438707</v>
      </c>
      <c r="H4" s="50">
        <f t="shared" ref="H4:H23" si="0">F4*G4</f>
        <v>53527.688646877417</v>
      </c>
    </row>
    <row r="5" spans="2:8" x14ac:dyDescent="0.25">
      <c r="B5" s="41">
        <v>2</v>
      </c>
      <c r="C5" s="84" t="s">
        <v>492</v>
      </c>
      <c r="D5" s="42" t="s">
        <v>347</v>
      </c>
      <c r="E5" s="41" t="s">
        <v>234</v>
      </c>
      <c r="F5" s="42">
        <v>4.2</v>
      </c>
      <c r="G5" s="50">
        <v>28083.94</v>
      </c>
      <c r="H5" s="50">
        <f t="shared" si="0"/>
        <v>117952.548</v>
      </c>
    </row>
    <row r="6" spans="2:8" x14ac:dyDescent="0.25">
      <c r="B6" s="41">
        <v>3</v>
      </c>
      <c r="C6" s="41">
        <v>95.1</v>
      </c>
      <c r="D6" s="42" t="s">
        <v>340</v>
      </c>
      <c r="E6" s="41" t="s">
        <v>157</v>
      </c>
      <c r="F6" s="42">
        <v>80</v>
      </c>
      <c r="G6" s="50">
        <v>49.967846430453626</v>
      </c>
      <c r="H6" s="50">
        <f t="shared" si="0"/>
        <v>3997.42771443629</v>
      </c>
    </row>
    <row r="7" spans="2:8" x14ac:dyDescent="0.25">
      <c r="B7" s="41">
        <v>4</v>
      </c>
      <c r="C7" s="41">
        <v>97.1</v>
      </c>
      <c r="D7" s="42" t="s">
        <v>341</v>
      </c>
      <c r="E7" s="61" t="s">
        <v>158</v>
      </c>
      <c r="F7" s="42">
        <v>8</v>
      </c>
      <c r="G7" s="50">
        <v>38.810642364475633</v>
      </c>
      <c r="H7" s="50">
        <f t="shared" si="0"/>
        <v>310.48513891580507</v>
      </c>
    </row>
    <row r="8" spans="2:8" x14ac:dyDescent="0.25">
      <c r="B8" s="41">
        <v>5</v>
      </c>
      <c r="C8" s="41" t="s">
        <v>478</v>
      </c>
      <c r="D8" s="85" t="s">
        <v>479</v>
      </c>
      <c r="E8" s="41" t="s">
        <v>158</v>
      </c>
      <c r="F8" s="42">
        <v>20</v>
      </c>
      <c r="G8" s="50">
        <v>245.28749999999999</v>
      </c>
      <c r="H8" s="50">
        <f t="shared" si="0"/>
        <v>4905.75</v>
      </c>
    </row>
    <row r="9" spans="2:8" x14ac:dyDescent="0.25">
      <c r="B9" s="41">
        <v>6</v>
      </c>
      <c r="C9" s="41" t="s">
        <v>480</v>
      </c>
      <c r="D9" s="82" t="s">
        <v>481</v>
      </c>
      <c r="E9" s="41" t="s">
        <v>157</v>
      </c>
      <c r="F9" s="42">
        <v>80</v>
      </c>
      <c r="G9" s="50">
        <v>39.245999999999995</v>
      </c>
      <c r="H9" s="50">
        <f t="shared" si="0"/>
        <v>3139.6799999999994</v>
      </c>
    </row>
    <row r="10" spans="2:8" x14ac:dyDescent="0.25">
      <c r="B10" s="41">
        <v>7</v>
      </c>
      <c r="C10" s="41">
        <v>120.1</v>
      </c>
      <c r="D10" s="42" t="s">
        <v>342</v>
      </c>
      <c r="E10" s="41" t="s">
        <v>158</v>
      </c>
      <c r="F10" s="42">
        <v>95</v>
      </c>
      <c r="G10" s="50">
        <v>34.896209189487173</v>
      </c>
      <c r="H10" s="50">
        <f t="shared" si="0"/>
        <v>3315.1398730012816</v>
      </c>
    </row>
    <row r="11" spans="2:8" x14ac:dyDescent="0.25">
      <c r="B11" s="41">
        <v>8</v>
      </c>
      <c r="C11" s="41" t="s">
        <v>482</v>
      </c>
      <c r="D11" s="82" t="s">
        <v>483</v>
      </c>
      <c r="E11" s="41" t="s">
        <v>250</v>
      </c>
      <c r="F11" s="42">
        <v>22</v>
      </c>
      <c r="G11" s="50">
        <v>65.41</v>
      </c>
      <c r="H11" s="50">
        <f t="shared" si="0"/>
        <v>1439.02</v>
      </c>
    </row>
    <row r="12" spans="2:8" ht="25.5" x14ac:dyDescent="0.25">
      <c r="B12" s="41">
        <v>9</v>
      </c>
      <c r="C12" s="41" t="s">
        <v>456</v>
      </c>
      <c r="D12" s="85" t="s">
        <v>484</v>
      </c>
      <c r="E12" s="41" t="s">
        <v>316</v>
      </c>
      <c r="F12" s="42">
        <v>40</v>
      </c>
      <c r="G12" s="50">
        <v>1225.7833999999998</v>
      </c>
      <c r="H12" s="50">
        <f t="shared" si="0"/>
        <v>49031.335999999996</v>
      </c>
    </row>
    <row r="13" spans="2:8" ht="25.5" x14ac:dyDescent="0.25">
      <c r="B13" s="41">
        <v>10</v>
      </c>
      <c r="C13" s="41" t="s">
        <v>485</v>
      </c>
      <c r="D13" s="82" t="s">
        <v>486</v>
      </c>
      <c r="E13" s="41" t="s">
        <v>222</v>
      </c>
      <c r="F13" s="42">
        <v>176</v>
      </c>
      <c r="G13" s="50">
        <v>695.9624</v>
      </c>
      <c r="H13" s="50">
        <f t="shared" si="0"/>
        <v>122489.3824</v>
      </c>
    </row>
    <row r="14" spans="2:8" ht="25.5" x14ac:dyDescent="0.25">
      <c r="B14" s="41">
        <v>11</v>
      </c>
      <c r="C14" s="72">
        <v>172.1</v>
      </c>
      <c r="D14" s="82" t="s">
        <v>487</v>
      </c>
      <c r="E14" s="41" t="s">
        <v>158</v>
      </c>
      <c r="F14" s="42">
        <v>8</v>
      </c>
      <c r="G14" s="50">
        <v>599.47955225534758</v>
      </c>
      <c r="H14" s="50">
        <f t="shared" si="0"/>
        <v>4795.8364180427807</v>
      </c>
    </row>
    <row r="15" spans="2:8" ht="25.5" x14ac:dyDescent="0.25">
      <c r="B15" s="41">
        <v>12</v>
      </c>
      <c r="C15" s="41" t="s">
        <v>488</v>
      </c>
      <c r="D15" s="82" t="s">
        <v>489</v>
      </c>
      <c r="E15" s="41" t="s">
        <v>250</v>
      </c>
      <c r="F15" s="42">
        <v>16</v>
      </c>
      <c r="G15" s="50">
        <v>107.92649999999999</v>
      </c>
      <c r="H15" s="50">
        <f t="shared" si="0"/>
        <v>1726.8239999999998</v>
      </c>
    </row>
    <row r="16" spans="2:8" x14ac:dyDescent="0.25">
      <c r="B16" s="41">
        <v>13</v>
      </c>
      <c r="C16" s="41" t="s">
        <v>343</v>
      </c>
      <c r="D16" s="42" t="s">
        <v>344</v>
      </c>
      <c r="E16" s="41" t="s">
        <v>157</v>
      </c>
      <c r="F16" s="42">
        <v>8</v>
      </c>
      <c r="G16" s="50">
        <v>9.3044525828835791</v>
      </c>
      <c r="H16" s="50">
        <f t="shared" si="0"/>
        <v>74.435620663068633</v>
      </c>
    </row>
    <row r="17" spans="2:8" x14ac:dyDescent="0.25">
      <c r="B17" s="41">
        <v>14</v>
      </c>
      <c r="C17" s="41">
        <v>133.1</v>
      </c>
      <c r="D17" s="42" t="s">
        <v>490</v>
      </c>
      <c r="E17" s="41" t="s">
        <v>157</v>
      </c>
      <c r="F17" s="42">
        <v>20</v>
      </c>
      <c r="G17" s="50">
        <v>60.758062728582523</v>
      </c>
      <c r="H17" s="50">
        <f t="shared" si="0"/>
        <v>1215.1612545716505</v>
      </c>
    </row>
    <row r="18" spans="2:8" x14ac:dyDescent="0.25">
      <c r="B18" s="41">
        <v>15</v>
      </c>
      <c r="C18" s="41">
        <v>17.100000000000001</v>
      </c>
      <c r="D18" s="42" t="s">
        <v>244</v>
      </c>
      <c r="E18" s="41" t="s">
        <v>222</v>
      </c>
      <c r="F18" s="42">
        <v>5</v>
      </c>
      <c r="G18" s="50">
        <v>258.22244052676297</v>
      </c>
      <c r="H18" s="50">
        <f t="shared" si="0"/>
        <v>1291.1122026338148</v>
      </c>
    </row>
    <row r="19" spans="2:8" x14ac:dyDescent="0.25">
      <c r="B19" s="41">
        <v>16</v>
      </c>
      <c r="C19" s="41">
        <v>19.100000000000001</v>
      </c>
      <c r="D19" s="42" t="s">
        <v>345</v>
      </c>
      <c r="E19" s="41" t="s">
        <v>222</v>
      </c>
      <c r="F19" s="42">
        <v>100</v>
      </c>
      <c r="G19" s="50">
        <v>73.140893457460592</v>
      </c>
      <c r="H19" s="50">
        <f t="shared" si="0"/>
        <v>7314.0893457460588</v>
      </c>
    </row>
    <row r="20" spans="2:8" x14ac:dyDescent="0.25">
      <c r="B20" s="41">
        <v>17</v>
      </c>
      <c r="C20" s="41">
        <v>122.1</v>
      </c>
      <c r="D20" s="42" t="s">
        <v>302</v>
      </c>
      <c r="E20" s="41" t="s">
        <v>222</v>
      </c>
      <c r="F20" s="42">
        <v>15</v>
      </c>
      <c r="G20" s="50">
        <v>75.281771306660772</v>
      </c>
      <c r="H20" s="50">
        <f t="shared" si="0"/>
        <v>1129.2265695999115</v>
      </c>
    </row>
    <row r="21" spans="2:8" x14ac:dyDescent="0.25">
      <c r="B21" s="41">
        <v>18</v>
      </c>
      <c r="C21" s="41">
        <v>124.1</v>
      </c>
      <c r="D21" s="42" t="s">
        <v>303</v>
      </c>
      <c r="E21" s="41" t="s">
        <v>222</v>
      </c>
      <c r="F21" s="42">
        <v>2</v>
      </c>
      <c r="G21" s="50">
        <v>248.75177003681679</v>
      </c>
      <c r="H21" s="50">
        <f t="shared" si="0"/>
        <v>497.50354007363359</v>
      </c>
    </row>
    <row r="22" spans="2:8" x14ac:dyDescent="0.25">
      <c r="B22" s="41">
        <v>19</v>
      </c>
      <c r="C22" s="72">
        <v>119.1</v>
      </c>
      <c r="D22" s="152" t="s">
        <v>491</v>
      </c>
      <c r="E22" s="41" t="s">
        <v>157</v>
      </c>
      <c r="F22" s="42">
        <v>28</v>
      </c>
      <c r="G22" s="50">
        <v>281.71814764841946</v>
      </c>
      <c r="H22" s="50">
        <f t="shared" si="0"/>
        <v>7888.1081341557447</v>
      </c>
    </row>
    <row r="23" spans="2:8" x14ac:dyDescent="0.25">
      <c r="B23" s="41">
        <v>20</v>
      </c>
      <c r="C23" s="41">
        <v>136.1</v>
      </c>
      <c r="D23" s="42" t="s">
        <v>249</v>
      </c>
      <c r="E23" s="41" t="s">
        <v>222</v>
      </c>
      <c r="F23" s="42">
        <v>5</v>
      </c>
      <c r="G23" s="50">
        <v>75.002923647812892</v>
      </c>
      <c r="H23" s="50">
        <f t="shared" si="0"/>
        <v>375.01461823906448</v>
      </c>
    </row>
    <row r="24" spans="2:8" ht="15" customHeight="1" x14ac:dyDescent="0.25">
      <c r="B24" s="94" t="s">
        <v>74</v>
      </c>
      <c r="C24" s="450" t="s">
        <v>254</v>
      </c>
      <c r="D24" s="450"/>
      <c r="E24" s="450"/>
      <c r="F24" s="450"/>
      <c r="G24" s="450"/>
      <c r="H24" s="127">
        <f>SUM(H4:H23)</f>
        <v>386415.76947695651</v>
      </c>
    </row>
    <row r="25" spans="2:8" x14ac:dyDescent="0.25">
      <c r="B25" s="41" t="s">
        <v>75</v>
      </c>
      <c r="C25" s="446" t="s">
        <v>255</v>
      </c>
      <c r="D25" s="446"/>
      <c r="E25" s="446"/>
      <c r="F25" s="52" t="s">
        <v>227</v>
      </c>
      <c r="G25" s="53">
        <v>0.03</v>
      </c>
      <c r="H25" s="50">
        <f t="shared" ref="H25:H30" si="1">G25*$H$24</f>
        <v>11592.473084308695</v>
      </c>
    </row>
    <row r="26" spans="2:8" x14ac:dyDescent="0.25">
      <c r="B26" s="41" t="s">
        <v>76</v>
      </c>
      <c r="C26" s="446" t="s">
        <v>256</v>
      </c>
      <c r="D26" s="446"/>
      <c r="E26" s="446"/>
      <c r="F26" s="52" t="s">
        <v>227</v>
      </c>
      <c r="G26" s="53">
        <v>0.03</v>
      </c>
      <c r="H26" s="50">
        <f t="shared" si="1"/>
        <v>11592.473084308695</v>
      </c>
    </row>
    <row r="27" spans="2:8" x14ac:dyDescent="0.25">
      <c r="B27" s="41" t="s">
        <v>77</v>
      </c>
      <c r="C27" s="446" t="s">
        <v>257</v>
      </c>
      <c r="D27" s="446"/>
      <c r="E27" s="446"/>
      <c r="F27" s="52" t="s">
        <v>227</v>
      </c>
      <c r="G27" s="53">
        <v>0.03</v>
      </c>
      <c r="H27" s="50">
        <f t="shared" si="1"/>
        <v>11592.473084308695</v>
      </c>
    </row>
    <row r="28" spans="2:8" x14ac:dyDescent="0.25">
      <c r="B28" s="41" t="s">
        <v>78</v>
      </c>
      <c r="C28" s="446" t="s">
        <v>258</v>
      </c>
      <c r="D28" s="446"/>
      <c r="E28" s="446"/>
      <c r="F28" s="52" t="s">
        <v>227</v>
      </c>
      <c r="G28" s="53">
        <v>0.04</v>
      </c>
      <c r="H28" s="50">
        <f t="shared" si="1"/>
        <v>15456.630779078261</v>
      </c>
    </row>
    <row r="29" spans="2:8" x14ac:dyDescent="0.25">
      <c r="B29" s="41" t="s">
        <v>213</v>
      </c>
      <c r="C29" s="446" t="s">
        <v>259</v>
      </c>
      <c r="D29" s="446"/>
      <c r="E29" s="446"/>
      <c r="F29" s="52" t="s">
        <v>227</v>
      </c>
      <c r="G29" s="53">
        <v>0.02</v>
      </c>
      <c r="H29" s="50">
        <f t="shared" si="1"/>
        <v>7728.3153895391306</v>
      </c>
    </row>
    <row r="30" spans="2:8" x14ac:dyDescent="0.25">
      <c r="B30" s="41" t="s">
        <v>92</v>
      </c>
      <c r="C30" s="446" t="s">
        <v>260</v>
      </c>
      <c r="D30" s="446"/>
      <c r="E30" s="446"/>
      <c r="F30" s="52" t="s">
        <v>227</v>
      </c>
      <c r="G30" s="53">
        <v>0.1</v>
      </c>
      <c r="H30" s="50">
        <f t="shared" si="1"/>
        <v>38641.576947695656</v>
      </c>
    </row>
    <row r="31" spans="2:8" x14ac:dyDescent="0.25">
      <c r="B31" s="352" t="s">
        <v>93</v>
      </c>
      <c r="C31" s="451" t="s">
        <v>261</v>
      </c>
      <c r="D31" s="452"/>
      <c r="E31" s="453"/>
      <c r="F31" s="457" t="s">
        <v>144</v>
      </c>
      <c r="G31" s="458"/>
      <c r="H31" s="50">
        <f>'LT line labour'!N39</f>
        <v>133796.05384119228</v>
      </c>
    </row>
    <row r="32" spans="2:8" x14ac:dyDescent="0.25">
      <c r="B32" s="353"/>
      <c r="C32" s="454"/>
      <c r="D32" s="455"/>
      <c r="E32" s="456"/>
      <c r="F32" s="457" t="s">
        <v>145</v>
      </c>
      <c r="G32" s="458"/>
      <c r="H32" s="50">
        <f>'LT line labour'!O39</f>
        <v>137624.1547712266</v>
      </c>
    </row>
    <row r="33" spans="2:8" x14ac:dyDescent="0.25">
      <c r="B33" s="331" t="s">
        <v>94</v>
      </c>
      <c r="C33" s="355" t="s">
        <v>262</v>
      </c>
      <c r="D33" s="355"/>
      <c r="E33" s="355"/>
      <c r="F33" s="446" t="s">
        <v>144</v>
      </c>
      <c r="G33" s="446"/>
      <c r="H33" s="128">
        <f>SUM(H24:H31)</f>
        <v>616815.7656873879</v>
      </c>
    </row>
    <row r="34" spans="2:8" x14ac:dyDescent="0.25">
      <c r="B34" s="331"/>
      <c r="C34" s="355"/>
      <c r="D34" s="355"/>
      <c r="E34" s="355"/>
      <c r="F34" s="446" t="s">
        <v>145</v>
      </c>
      <c r="G34" s="446"/>
      <c r="H34" s="128">
        <f>SUM(H24:H30,H32)</f>
        <v>620643.8666174222</v>
      </c>
    </row>
  </sheetData>
  <mergeCells count="16">
    <mergeCell ref="B31:B32"/>
    <mergeCell ref="C31:E32"/>
    <mergeCell ref="F31:G31"/>
    <mergeCell ref="F32:G32"/>
    <mergeCell ref="B33:B34"/>
    <mergeCell ref="C33:E34"/>
    <mergeCell ref="F33:G33"/>
    <mergeCell ref="F34:G34"/>
    <mergeCell ref="D2:H2"/>
    <mergeCell ref="C29:E29"/>
    <mergeCell ref="C30:E30"/>
    <mergeCell ref="C24:G24"/>
    <mergeCell ref="C25:E25"/>
    <mergeCell ref="C26:E26"/>
    <mergeCell ref="C27:E27"/>
    <mergeCell ref="C28:E28"/>
  </mergeCells>
  <pageMargins left="0.7" right="0.7" top="0.75" bottom="0.75" header="0.3" footer="0.3"/>
  <pageSetup paperSize="9" scale="92"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7"/>
  <sheetViews>
    <sheetView zoomScaleNormal="100" workbookViewId="0"/>
  </sheetViews>
  <sheetFormatPr defaultRowHeight="15" x14ac:dyDescent="0.25"/>
  <cols>
    <col min="2" max="2" width="5.7109375" style="105" bestFit="1" customWidth="1"/>
    <col min="3" max="3" width="5.42578125" bestFit="1" customWidth="1"/>
    <col min="4" max="4" width="51" customWidth="1"/>
    <col min="5" max="5" width="5" customWidth="1"/>
    <col min="6" max="6" width="4.28515625" bestFit="1" customWidth="1"/>
    <col min="7" max="7" width="9.42578125" bestFit="1" customWidth="1"/>
    <col min="8" max="8" width="9.85546875" bestFit="1" customWidth="1"/>
  </cols>
  <sheetData>
    <row r="2" spans="2:10" ht="49.5" customHeight="1" x14ac:dyDescent="0.25">
      <c r="C2" s="158"/>
      <c r="D2" s="468" t="s">
        <v>692</v>
      </c>
      <c r="E2" s="468"/>
      <c r="F2" s="468"/>
      <c r="G2" s="468"/>
      <c r="H2" s="468"/>
    </row>
    <row r="3" spans="2:10" ht="25.5" x14ac:dyDescent="0.25">
      <c r="B3" s="100" t="s">
        <v>572</v>
      </c>
      <c r="C3" s="101" t="s">
        <v>229</v>
      </c>
      <c r="D3" s="101" t="s">
        <v>2</v>
      </c>
      <c r="E3" s="100" t="s">
        <v>154</v>
      </c>
      <c r="F3" s="94" t="s">
        <v>107</v>
      </c>
      <c r="G3" s="94" t="s">
        <v>231</v>
      </c>
      <c r="H3" s="94" t="s">
        <v>232</v>
      </c>
    </row>
    <row r="4" spans="2:10" x14ac:dyDescent="0.25">
      <c r="B4" s="106">
        <v>1</v>
      </c>
      <c r="C4" s="41">
        <v>164.1</v>
      </c>
      <c r="D4" s="152" t="s">
        <v>308</v>
      </c>
      <c r="E4" s="41" t="s">
        <v>157</v>
      </c>
      <c r="F4" s="107">
        <v>20</v>
      </c>
      <c r="G4" s="50">
        <v>4754.7768663261377</v>
      </c>
      <c r="H4" s="50">
        <f t="shared" ref="H4:H16" si="0">F4*G4</f>
        <v>95095.537326522754</v>
      </c>
      <c r="J4" s="46"/>
    </row>
    <row r="5" spans="2:10" x14ac:dyDescent="0.25">
      <c r="B5" s="106">
        <v>2</v>
      </c>
      <c r="C5" s="34" t="s">
        <v>682</v>
      </c>
      <c r="D5" s="152" t="s">
        <v>395</v>
      </c>
      <c r="E5" s="22" t="s">
        <v>574</v>
      </c>
      <c r="F5" s="22">
        <v>1</v>
      </c>
      <c r="G5" s="237">
        <v>497574</v>
      </c>
      <c r="H5" s="237">
        <f t="shared" si="0"/>
        <v>497574</v>
      </c>
      <c r="J5" s="46"/>
    </row>
    <row r="6" spans="2:10" ht="38.25" x14ac:dyDescent="0.25">
      <c r="B6" s="106">
        <v>3</v>
      </c>
      <c r="C6" s="41" t="s">
        <v>598</v>
      </c>
      <c r="D6" s="152" t="s">
        <v>599</v>
      </c>
      <c r="E6" s="22" t="s">
        <v>157</v>
      </c>
      <c r="F6" s="22">
        <v>18</v>
      </c>
      <c r="G6" s="50">
        <v>437.34</v>
      </c>
      <c r="H6" s="50">
        <f t="shared" si="0"/>
        <v>7872.12</v>
      </c>
      <c r="J6" s="46"/>
    </row>
    <row r="7" spans="2:10" ht="38.25" x14ac:dyDescent="0.25">
      <c r="B7" s="106">
        <v>4</v>
      </c>
      <c r="C7" s="41" t="s">
        <v>686</v>
      </c>
      <c r="D7" s="152" t="s">
        <v>600</v>
      </c>
      <c r="E7" s="22" t="s">
        <v>157</v>
      </c>
      <c r="F7" s="22">
        <v>2</v>
      </c>
      <c r="G7" s="50">
        <v>542.87</v>
      </c>
      <c r="H7" s="50">
        <f t="shared" si="0"/>
        <v>1085.74</v>
      </c>
      <c r="J7" s="46"/>
    </row>
    <row r="8" spans="2:10" ht="25.5" x14ac:dyDescent="0.25">
      <c r="B8" s="106">
        <v>5</v>
      </c>
      <c r="C8" s="84" t="s">
        <v>601</v>
      </c>
      <c r="D8" s="57" t="s">
        <v>602</v>
      </c>
      <c r="E8" s="89" t="s">
        <v>286</v>
      </c>
      <c r="F8" s="22">
        <v>10</v>
      </c>
      <c r="G8" s="50">
        <v>31.747812886539975</v>
      </c>
      <c r="H8" s="50">
        <f t="shared" si="0"/>
        <v>317.47812886539975</v>
      </c>
      <c r="J8" s="46"/>
    </row>
    <row r="9" spans="2:10" ht="25.5" x14ac:dyDescent="0.25">
      <c r="B9" s="106">
        <v>6</v>
      </c>
      <c r="C9" s="41">
        <v>170.1</v>
      </c>
      <c r="D9" s="42" t="s">
        <v>419</v>
      </c>
      <c r="E9" s="41" t="s">
        <v>158</v>
      </c>
      <c r="F9" s="42">
        <v>8</v>
      </c>
      <c r="G9" s="50">
        <v>651.3770641693452</v>
      </c>
      <c r="H9" s="50">
        <f t="shared" si="0"/>
        <v>5211.0165133547616</v>
      </c>
      <c r="J9" s="46"/>
    </row>
    <row r="10" spans="2:10" x14ac:dyDescent="0.25">
      <c r="B10" s="106">
        <v>7</v>
      </c>
      <c r="C10" s="41" t="s">
        <v>420</v>
      </c>
      <c r="D10" s="42" t="s">
        <v>421</v>
      </c>
      <c r="E10" s="41" t="s">
        <v>158</v>
      </c>
      <c r="F10" s="42">
        <v>8</v>
      </c>
      <c r="G10" s="50">
        <v>127.54949999999999</v>
      </c>
      <c r="H10" s="50">
        <f t="shared" si="0"/>
        <v>1020.396</v>
      </c>
      <c r="J10" s="46"/>
    </row>
    <row r="11" spans="2:10" x14ac:dyDescent="0.25">
      <c r="B11" s="106">
        <v>8</v>
      </c>
      <c r="C11" s="41">
        <v>19.100000000000001</v>
      </c>
      <c r="D11" s="42" t="s">
        <v>246</v>
      </c>
      <c r="E11" s="41" t="s">
        <v>222</v>
      </c>
      <c r="F11" s="42">
        <v>60</v>
      </c>
      <c r="G11" s="50">
        <v>73.140893457460592</v>
      </c>
      <c r="H11" s="50">
        <f t="shared" si="0"/>
        <v>4388.4536074476355</v>
      </c>
      <c r="J11" s="46"/>
    </row>
    <row r="12" spans="2:10" x14ac:dyDescent="0.25">
      <c r="B12" s="106">
        <v>9</v>
      </c>
      <c r="C12" s="41" t="s">
        <v>603</v>
      </c>
      <c r="D12" s="57" t="s">
        <v>604</v>
      </c>
      <c r="E12" s="89" t="s">
        <v>157</v>
      </c>
      <c r="F12" s="104">
        <v>20</v>
      </c>
      <c r="G12" s="50">
        <v>6.8786927920836618</v>
      </c>
      <c r="H12" s="137">
        <f t="shared" si="0"/>
        <v>137.57385584167324</v>
      </c>
      <c r="J12" s="46"/>
    </row>
    <row r="13" spans="2:10" x14ac:dyDescent="0.25">
      <c r="B13" s="106">
        <v>10</v>
      </c>
      <c r="C13" s="41" t="s">
        <v>605</v>
      </c>
      <c r="D13" s="152" t="s">
        <v>606</v>
      </c>
      <c r="E13" s="89" t="s">
        <v>157</v>
      </c>
      <c r="F13" s="104">
        <v>3</v>
      </c>
      <c r="G13" s="50">
        <v>132.04624311256046</v>
      </c>
      <c r="H13" s="137">
        <f t="shared" si="0"/>
        <v>396.13872933768141</v>
      </c>
      <c r="J13" s="46"/>
    </row>
    <row r="14" spans="2:10" x14ac:dyDescent="0.25">
      <c r="B14" s="106">
        <v>11</v>
      </c>
      <c r="C14" s="41" t="s">
        <v>607</v>
      </c>
      <c r="D14" s="152" t="s">
        <v>608</v>
      </c>
      <c r="E14" s="41" t="s">
        <v>157</v>
      </c>
      <c r="F14" s="104">
        <v>75</v>
      </c>
      <c r="G14" s="50">
        <v>97.462703249746994</v>
      </c>
      <c r="H14" s="137">
        <f t="shared" si="0"/>
        <v>7309.7027437310244</v>
      </c>
      <c r="J14" s="46"/>
    </row>
    <row r="15" spans="2:10" ht="25.5" x14ac:dyDescent="0.25">
      <c r="B15" s="106">
        <v>12</v>
      </c>
      <c r="C15" s="41" t="s">
        <v>609</v>
      </c>
      <c r="D15" s="152" t="s">
        <v>610</v>
      </c>
      <c r="E15" s="41" t="s">
        <v>157</v>
      </c>
      <c r="F15" s="104">
        <v>30</v>
      </c>
      <c r="G15" s="50">
        <v>63.495625773079951</v>
      </c>
      <c r="H15" s="137">
        <f t="shared" si="0"/>
        <v>1904.8687731923985</v>
      </c>
      <c r="J15" s="46"/>
    </row>
    <row r="16" spans="2:10" ht="25.5" x14ac:dyDescent="0.25">
      <c r="B16" s="106">
        <v>13</v>
      </c>
      <c r="C16" s="41" t="s">
        <v>426</v>
      </c>
      <c r="D16" s="152" t="s">
        <v>427</v>
      </c>
      <c r="E16" s="41" t="s">
        <v>158</v>
      </c>
      <c r="F16" s="104">
        <v>25</v>
      </c>
      <c r="G16" s="50">
        <v>1080</v>
      </c>
      <c r="H16" s="137">
        <f t="shared" si="0"/>
        <v>27000</v>
      </c>
      <c r="J16" s="46"/>
    </row>
    <row r="17" spans="2:8" x14ac:dyDescent="0.25">
      <c r="B17" s="94" t="s">
        <v>74</v>
      </c>
      <c r="C17" s="450" t="s">
        <v>254</v>
      </c>
      <c r="D17" s="450"/>
      <c r="E17" s="450"/>
      <c r="F17" s="450"/>
      <c r="G17" s="450"/>
      <c r="H17" s="242">
        <f>SUM(H4:H16)</f>
        <v>649313.0256782932</v>
      </c>
    </row>
    <row r="18" spans="2:8" x14ac:dyDescent="0.25">
      <c r="B18" s="41" t="s">
        <v>75</v>
      </c>
      <c r="C18" s="446" t="s">
        <v>255</v>
      </c>
      <c r="D18" s="446"/>
      <c r="E18" s="446"/>
      <c r="F18" s="52" t="s">
        <v>227</v>
      </c>
      <c r="G18" s="53">
        <v>0.03</v>
      </c>
      <c r="H18" s="237">
        <f t="shared" ref="H18:H23" si="1">G18*$H$17</f>
        <v>19479.390770348797</v>
      </c>
    </row>
    <row r="19" spans="2:8" x14ac:dyDescent="0.25">
      <c r="B19" s="41" t="s">
        <v>76</v>
      </c>
      <c r="C19" s="446" t="s">
        <v>256</v>
      </c>
      <c r="D19" s="446"/>
      <c r="E19" s="446"/>
      <c r="F19" s="52" t="s">
        <v>227</v>
      </c>
      <c r="G19" s="53">
        <v>0.03</v>
      </c>
      <c r="H19" s="237">
        <f t="shared" si="1"/>
        <v>19479.390770348797</v>
      </c>
    </row>
    <row r="20" spans="2:8" x14ac:dyDescent="0.25">
      <c r="B20" s="41" t="s">
        <v>77</v>
      </c>
      <c r="C20" s="446" t="s">
        <v>257</v>
      </c>
      <c r="D20" s="446"/>
      <c r="E20" s="446"/>
      <c r="F20" s="52" t="s">
        <v>227</v>
      </c>
      <c r="G20" s="53">
        <v>0.03</v>
      </c>
      <c r="H20" s="237">
        <f t="shared" si="1"/>
        <v>19479.390770348797</v>
      </c>
    </row>
    <row r="21" spans="2:8" x14ac:dyDescent="0.25">
      <c r="B21" s="41" t="s">
        <v>78</v>
      </c>
      <c r="C21" s="446" t="s">
        <v>258</v>
      </c>
      <c r="D21" s="446"/>
      <c r="E21" s="446"/>
      <c r="F21" s="52" t="s">
        <v>227</v>
      </c>
      <c r="G21" s="53">
        <v>0.04</v>
      </c>
      <c r="H21" s="237">
        <f t="shared" si="1"/>
        <v>25972.52102713173</v>
      </c>
    </row>
    <row r="22" spans="2:8" x14ac:dyDescent="0.25">
      <c r="B22" s="41" t="s">
        <v>213</v>
      </c>
      <c r="C22" s="446" t="s">
        <v>259</v>
      </c>
      <c r="D22" s="446"/>
      <c r="E22" s="446"/>
      <c r="F22" s="52" t="s">
        <v>227</v>
      </c>
      <c r="G22" s="53">
        <v>0.02</v>
      </c>
      <c r="H22" s="237">
        <f t="shared" si="1"/>
        <v>12986.260513565865</v>
      </c>
    </row>
    <row r="23" spans="2:8" x14ac:dyDescent="0.25">
      <c r="B23" s="41" t="s">
        <v>92</v>
      </c>
      <c r="C23" s="446" t="s">
        <v>260</v>
      </c>
      <c r="D23" s="446"/>
      <c r="E23" s="446"/>
      <c r="F23" s="52" t="s">
        <v>227</v>
      </c>
      <c r="G23" s="53">
        <v>0.1</v>
      </c>
      <c r="H23" s="237">
        <f t="shared" si="1"/>
        <v>64931.30256782932</v>
      </c>
    </row>
    <row r="24" spans="2:8" x14ac:dyDescent="0.25">
      <c r="B24" s="352" t="s">
        <v>93</v>
      </c>
      <c r="C24" s="451" t="s">
        <v>261</v>
      </c>
      <c r="D24" s="452"/>
      <c r="E24" s="453"/>
      <c r="F24" s="457" t="s">
        <v>144</v>
      </c>
      <c r="G24" s="458"/>
      <c r="H24" s="237">
        <f>'AB Cable labour'!K41</f>
        <v>113690.33186445945</v>
      </c>
    </row>
    <row r="25" spans="2:8" x14ac:dyDescent="0.25">
      <c r="B25" s="353"/>
      <c r="C25" s="454"/>
      <c r="D25" s="455"/>
      <c r="E25" s="456"/>
      <c r="F25" s="457" t="s">
        <v>145</v>
      </c>
      <c r="G25" s="458"/>
      <c r="H25" s="237">
        <f>'AB Cable labour'!L41</f>
        <v>117518.43279449375</v>
      </c>
    </row>
    <row r="26" spans="2:8" x14ac:dyDescent="0.25">
      <c r="B26" s="331" t="s">
        <v>94</v>
      </c>
      <c r="C26" s="355" t="s">
        <v>262</v>
      </c>
      <c r="D26" s="355"/>
      <c r="E26" s="355"/>
      <c r="F26" s="446" t="s">
        <v>144</v>
      </c>
      <c r="G26" s="446"/>
      <c r="H26" s="238">
        <f>SUM(H17:H24)</f>
        <v>925331.61396232597</v>
      </c>
    </row>
    <row r="27" spans="2:8" x14ac:dyDescent="0.25">
      <c r="B27" s="331"/>
      <c r="C27" s="355"/>
      <c r="D27" s="355"/>
      <c r="E27" s="355"/>
      <c r="F27" s="446" t="s">
        <v>145</v>
      </c>
      <c r="G27" s="446"/>
      <c r="H27" s="238">
        <f>SUM(H17:H23,H25)</f>
        <v>929159.71489236027</v>
      </c>
    </row>
  </sheetData>
  <mergeCells count="16">
    <mergeCell ref="D2:H2"/>
    <mergeCell ref="B26:B27"/>
    <mergeCell ref="C26:E27"/>
    <mergeCell ref="F26:G26"/>
    <mergeCell ref="F27:G27"/>
    <mergeCell ref="C22:E22"/>
    <mergeCell ref="C23:E23"/>
    <mergeCell ref="B24:B25"/>
    <mergeCell ref="C24:E25"/>
    <mergeCell ref="F24:G24"/>
    <mergeCell ref="F25:G25"/>
    <mergeCell ref="C21:E21"/>
    <mergeCell ref="C17:G17"/>
    <mergeCell ref="C18:E18"/>
    <mergeCell ref="C19:E19"/>
    <mergeCell ref="C20:E20"/>
  </mergeCells>
  <pageMargins left="0.7" right="0.7" top="0.75" bottom="0.75" header="0.3" footer="0.3"/>
  <pageSetup scale="91"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7"/>
  <sheetViews>
    <sheetView zoomScaleNormal="100" workbookViewId="0"/>
  </sheetViews>
  <sheetFormatPr defaultRowHeight="15" x14ac:dyDescent="0.25"/>
  <cols>
    <col min="2" max="2" width="5.7109375" style="105" bestFit="1" customWidth="1"/>
    <col min="3" max="3" width="5.42578125" bestFit="1" customWidth="1"/>
    <col min="4" max="4" width="51" customWidth="1"/>
    <col min="5" max="5" width="5.5703125" customWidth="1"/>
    <col min="6" max="6" width="4.28515625" bestFit="1" customWidth="1"/>
    <col min="7" max="7" width="8.42578125" bestFit="1" customWidth="1"/>
    <col min="8" max="8" width="9.7109375" bestFit="1" customWidth="1"/>
  </cols>
  <sheetData>
    <row r="2" spans="2:10" ht="49.5" customHeight="1" x14ac:dyDescent="0.25">
      <c r="C2" s="158"/>
      <c r="D2" s="468" t="s">
        <v>693</v>
      </c>
      <c r="E2" s="468"/>
      <c r="F2" s="468"/>
      <c r="G2" s="468"/>
      <c r="H2" s="468"/>
    </row>
    <row r="3" spans="2:10" ht="25.5" x14ac:dyDescent="0.25">
      <c r="B3" s="100" t="s">
        <v>572</v>
      </c>
      <c r="C3" s="101" t="s">
        <v>229</v>
      </c>
      <c r="D3" s="101" t="s">
        <v>2</v>
      </c>
      <c r="E3" s="100" t="s">
        <v>154</v>
      </c>
      <c r="F3" s="94" t="s">
        <v>107</v>
      </c>
      <c r="G3" s="94" t="s">
        <v>231</v>
      </c>
      <c r="H3" s="94" t="s">
        <v>232</v>
      </c>
    </row>
    <row r="4" spans="2:10" x14ac:dyDescent="0.25">
      <c r="B4" s="106">
        <v>1</v>
      </c>
      <c r="C4" s="41">
        <v>164.1</v>
      </c>
      <c r="D4" s="152" t="s">
        <v>308</v>
      </c>
      <c r="E4" s="41" t="s">
        <v>157</v>
      </c>
      <c r="F4" s="107">
        <v>20</v>
      </c>
      <c r="G4" s="50">
        <v>4754.7768663261377</v>
      </c>
      <c r="H4" s="50">
        <f t="shared" ref="H4:H16" si="0">F4*G4</f>
        <v>95095.537326522754</v>
      </c>
      <c r="J4" s="46"/>
    </row>
    <row r="5" spans="2:10" x14ac:dyDescent="0.25">
      <c r="B5" s="106">
        <v>2</v>
      </c>
      <c r="C5" s="34" t="s">
        <v>683</v>
      </c>
      <c r="D5" s="152" t="s">
        <v>396</v>
      </c>
      <c r="E5" s="22" t="s">
        <v>574</v>
      </c>
      <c r="F5" s="22">
        <v>1</v>
      </c>
      <c r="G5" s="50">
        <v>359260</v>
      </c>
      <c r="H5" s="50">
        <f t="shared" si="0"/>
        <v>359260</v>
      </c>
      <c r="J5" s="46"/>
    </row>
    <row r="6" spans="2:10" ht="38.25" x14ac:dyDescent="0.25">
      <c r="B6" s="106">
        <v>3</v>
      </c>
      <c r="C6" s="41" t="s">
        <v>689</v>
      </c>
      <c r="D6" s="152" t="s">
        <v>690</v>
      </c>
      <c r="E6" s="22" t="s">
        <v>157</v>
      </c>
      <c r="F6" s="22">
        <v>18</v>
      </c>
      <c r="G6" s="50">
        <v>413.89</v>
      </c>
      <c r="H6" s="50">
        <f t="shared" si="0"/>
        <v>7450.0199999999995</v>
      </c>
      <c r="J6" s="46"/>
    </row>
    <row r="7" spans="2:10" ht="38.25" x14ac:dyDescent="0.25">
      <c r="B7" s="106">
        <v>4</v>
      </c>
      <c r="C7" s="41" t="s">
        <v>687</v>
      </c>
      <c r="D7" s="152" t="s">
        <v>688</v>
      </c>
      <c r="E7" s="22" t="s">
        <v>157</v>
      </c>
      <c r="F7" s="22">
        <v>2</v>
      </c>
      <c r="G7" s="50">
        <v>507.69</v>
      </c>
      <c r="H7" s="50">
        <f t="shared" si="0"/>
        <v>1015.38</v>
      </c>
      <c r="J7" s="46"/>
    </row>
    <row r="8" spans="2:10" ht="25.5" x14ac:dyDescent="0.25">
      <c r="B8" s="106">
        <v>5</v>
      </c>
      <c r="C8" s="84" t="s">
        <v>601</v>
      </c>
      <c r="D8" s="57" t="s">
        <v>611</v>
      </c>
      <c r="E8" s="89" t="s">
        <v>286</v>
      </c>
      <c r="F8" s="22">
        <v>10</v>
      </c>
      <c r="G8" s="50">
        <v>31.747812886539975</v>
      </c>
      <c r="H8" s="50">
        <f t="shared" si="0"/>
        <v>317.47812886539975</v>
      </c>
      <c r="J8" s="46"/>
    </row>
    <row r="9" spans="2:10" ht="25.5" x14ac:dyDescent="0.25">
      <c r="B9" s="106">
        <v>6</v>
      </c>
      <c r="C9" s="41">
        <v>170.1</v>
      </c>
      <c r="D9" s="42" t="s">
        <v>419</v>
      </c>
      <c r="E9" s="41" t="s">
        <v>158</v>
      </c>
      <c r="F9" s="22">
        <v>8</v>
      </c>
      <c r="G9" s="50">
        <v>651.3770641693452</v>
      </c>
      <c r="H9" s="50">
        <f t="shared" si="0"/>
        <v>5211.0165133547616</v>
      </c>
      <c r="J9" s="46"/>
    </row>
    <row r="10" spans="2:10" x14ac:dyDescent="0.25">
      <c r="B10" s="106">
        <v>7</v>
      </c>
      <c r="C10" s="41" t="s">
        <v>420</v>
      </c>
      <c r="D10" s="42" t="s">
        <v>421</v>
      </c>
      <c r="E10" s="41" t="s">
        <v>158</v>
      </c>
      <c r="F10" s="22">
        <v>8</v>
      </c>
      <c r="G10" s="50">
        <v>127.54949999999999</v>
      </c>
      <c r="H10" s="50">
        <f t="shared" si="0"/>
        <v>1020.396</v>
      </c>
      <c r="J10" s="46"/>
    </row>
    <row r="11" spans="2:10" x14ac:dyDescent="0.25">
      <c r="B11" s="106">
        <v>8</v>
      </c>
      <c r="C11" s="41">
        <v>19.100000000000001</v>
      </c>
      <c r="D11" s="42" t="s">
        <v>246</v>
      </c>
      <c r="E11" s="41" t="s">
        <v>222</v>
      </c>
      <c r="F11" s="22">
        <v>60</v>
      </c>
      <c r="G11" s="50">
        <v>73.140893457460592</v>
      </c>
      <c r="H11" s="50">
        <f t="shared" si="0"/>
        <v>4388.4536074476355</v>
      </c>
      <c r="J11" s="46"/>
    </row>
    <row r="12" spans="2:10" x14ac:dyDescent="0.25">
      <c r="B12" s="106">
        <v>9</v>
      </c>
      <c r="C12" s="41" t="s">
        <v>603</v>
      </c>
      <c r="D12" s="57" t="s">
        <v>604</v>
      </c>
      <c r="E12" s="89" t="s">
        <v>157</v>
      </c>
      <c r="F12" s="104">
        <v>20</v>
      </c>
      <c r="G12" s="50">
        <v>6.8786927920836618</v>
      </c>
      <c r="H12" s="50">
        <f t="shared" si="0"/>
        <v>137.57385584167324</v>
      </c>
      <c r="J12" s="46"/>
    </row>
    <row r="13" spans="2:10" x14ac:dyDescent="0.25">
      <c r="B13" s="106">
        <v>10</v>
      </c>
      <c r="C13" s="41" t="s">
        <v>612</v>
      </c>
      <c r="D13" s="152" t="s">
        <v>613</v>
      </c>
      <c r="E13" s="41" t="s">
        <v>157</v>
      </c>
      <c r="F13" s="104">
        <v>3</v>
      </c>
      <c r="G13" s="50">
        <v>115.27846620937817</v>
      </c>
      <c r="H13" s="50">
        <f t="shared" si="0"/>
        <v>345.8353986281345</v>
      </c>
      <c r="J13" s="46"/>
    </row>
    <row r="14" spans="2:10" x14ac:dyDescent="0.25">
      <c r="B14" s="106">
        <v>11</v>
      </c>
      <c r="C14" s="41" t="s">
        <v>607</v>
      </c>
      <c r="D14" s="152" t="s">
        <v>608</v>
      </c>
      <c r="E14" s="41" t="s">
        <v>157</v>
      </c>
      <c r="F14" s="104">
        <v>75</v>
      </c>
      <c r="G14" s="50">
        <v>97.462703249746994</v>
      </c>
      <c r="H14" s="50">
        <f t="shared" si="0"/>
        <v>7309.7027437310244</v>
      </c>
      <c r="J14" s="46"/>
    </row>
    <row r="15" spans="2:10" ht="25.5" x14ac:dyDescent="0.25">
      <c r="B15" s="106">
        <v>12</v>
      </c>
      <c r="C15" s="41" t="s">
        <v>609</v>
      </c>
      <c r="D15" s="152" t="s">
        <v>610</v>
      </c>
      <c r="E15" s="41" t="s">
        <v>157</v>
      </c>
      <c r="F15" s="104">
        <v>30</v>
      </c>
      <c r="G15" s="50">
        <v>63.495625773079951</v>
      </c>
      <c r="H15" s="50">
        <f t="shared" si="0"/>
        <v>1904.8687731923985</v>
      </c>
      <c r="J15" s="46"/>
    </row>
    <row r="16" spans="2:10" ht="25.5" x14ac:dyDescent="0.25">
      <c r="B16" s="106">
        <v>13</v>
      </c>
      <c r="C16" s="41" t="s">
        <v>426</v>
      </c>
      <c r="D16" s="152" t="s">
        <v>427</v>
      </c>
      <c r="E16" s="41" t="s">
        <v>158</v>
      </c>
      <c r="F16" s="104">
        <v>25</v>
      </c>
      <c r="G16" s="50">
        <v>1080</v>
      </c>
      <c r="H16" s="50">
        <f t="shared" si="0"/>
        <v>27000</v>
      </c>
      <c r="J16" s="46"/>
    </row>
    <row r="17" spans="2:8" x14ac:dyDescent="0.25">
      <c r="B17" s="94" t="s">
        <v>74</v>
      </c>
      <c r="C17" s="450" t="s">
        <v>254</v>
      </c>
      <c r="D17" s="450"/>
      <c r="E17" s="450"/>
      <c r="F17" s="450"/>
      <c r="G17" s="450"/>
      <c r="H17" s="242">
        <f>SUM(H4:H16)</f>
        <v>510456.26234758383</v>
      </c>
    </row>
    <row r="18" spans="2:8" x14ac:dyDescent="0.25">
      <c r="B18" s="41" t="s">
        <v>75</v>
      </c>
      <c r="C18" s="446" t="s">
        <v>255</v>
      </c>
      <c r="D18" s="446"/>
      <c r="E18" s="446"/>
      <c r="F18" s="52" t="s">
        <v>227</v>
      </c>
      <c r="G18" s="53">
        <v>0.03</v>
      </c>
      <c r="H18" s="237">
        <f t="shared" ref="H18:H23" si="1">G18*$H$17</f>
        <v>15313.687870427515</v>
      </c>
    </row>
    <row r="19" spans="2:8" x14ac:dyDescent="0.25">
      <c r="B19" s="41" t="s">
        <v>76</v>
      </c>
      <c r="C19" s="446" t="s">
        <v>256</v>
      </c>
      <c r="D19" s="446"/>
      <c r="E19" s="446"/>
      <c r="F19" s="52" t="s">
        <v>227</v>
      </c>
      <c r="G19" s="53">
        <v>0.03</v>
      </c>
      <c r="H19" s="237">
        <f t="shared" si="1"/>
        <v>15313.687870427515</v>
      </c>
    </row>
    <row r="20" spans="2:8" x14ac:dyDescent="0.25">
      <c r="B20" s="41" t="s">
        <v>77</v>
      </c>
      <c r="C20" s="446" t="s">
        <v>257</v>
      </c>
      <c r="D20" s="446"/>
      <c r="E20" s="446"/>
      <c r="F20" s="52" t="s">
        <v>227</v>
      </c>
      <c r="G20" s="53">
        <v>0.03</v>
      </c>
      <c r="H20" s="237">
        <f t="shared" si="1"/>
        <v>15313.687870427515</v>
      </c>
    </row>
    <row r="21" spans="2:8" x14ac:dyDescent="0.25">
      <c r="B21" s="41" t="s">
        <v>78</v>
      </c>
      <c r="C21" s="446" t="s">
        <v>258</v>
      </c>
      <c r="D21" s="446"/>
      <c r="E21" s="446"/>
      <c r="F21" s="52" t="s">
        <v>227</v>
      </c>
      <c r="G21" s="53">
        <v>0.04</v>
      </c>
      <c r="H21" s="237">
        <f t="shared" si="1"/>
        <v>20418.250493903353</v>
      </c>
    </row>
    <row r="22" spans="2:8" x14ac:dyDescent="0.25">
      <c r="B22" s="41" t="s">
        <v>213</v>
      </c>
      <c r="C22" s="446" t="s">
        <v>259</v>
      </c>
      <c r="D22" s="446"/>
      <c r="E22" s="446"/>
      <c r="F22" s="52" t="s">
        <v>227</v>
      </c>
      <c r="G22" s="53">
        <v>0.02</v>
      </c>
      <c r="H22" s="237">
        <f t="shared" si="1"/>
        <v>10209.125246951677</v>
      </c>
    </row>
    <row r="23" spans="2:8" x14ac:dyDescent="0.25">
      <c r="B23" s="41" t="s">
        <v>92</v>
      </c>
      <c r="C23" s="446" t="s">
        <v>260</v>
      </c>
      <c r="D23" s="446"/>
      <c r="E23" s="446"/>
      <c r="F23" s="52" t="s">
        <v>227</v>
      </c>
      <c r="G23" s="53">
        <v>0.1</v>
      </c>
      <c r="H23" s="237">
        <f t="shared" si="1"/>
        <v>51045.626234758383</v>
      </c>
    </row>
    <row r="24" spans="2:8" x14ac:dyDescent="0.25">
      <c r="B24" s="352" t="s">
        <v>93</v>
      </c>
      <c r="C24" s="451" t="s">
        <v>261</v>
      </c>
      <c r="D24" s="452"/>
      <c r="E24" s="453"/>
      <c r="F24" s="457" t="s">
        <v>144</v>
      </c>
      <c r="G24" s="458"/>
      <c r="H24" s="237">
        <f>'AB Cable labour'!N41</f>
        <v>105244.27351475187</v>
      </c>
    </row>
    <row r="25" spans="2:8" x14ac:dyDescent="0.25">
      <c r="B25" s="353"/>
      <c r="C25" s="454"/>
      <c r="D25" s="455"/>
      <c r="E25" s="456"/>
      <c r="F25" s="457" t="s">
        <v>145</v>
      </c>
      <c r="G25" s="458"/>
      <c r="H25" s="237">
        <f>'AB Cable labour'!O41</f>
        <v>109072.37444478617</v>
      </c>
    </row>
    <row r="26" spans="2:8" x14ac:dyDescent="0.25">
      <c r="B26" s="331" t="s">
        <v>94</v>
      </c>
      <c r="C26" s="355" t="s">
        <v>262</v>
      </c>
      <c r="D26" s="355"/>
      <c r="E26" s="355"/>
      <c r="F26" s="446" t="s">
        <v>144</v>
      </c>
      <c r="G26" s="446"/>
      <c r="H26" s="238">
        <f>SUM(H17:H24)</f>
        <v>743314.60144923185</v>
      </c>
    </row>
    <row r="27" spans="2:8" x14ac:dyDescent="0.25">
      <c r="B27" s="331"/>
      <c r="C27" s="355"/>
      <c r="D27" s="355"/>
      <c r="E27" s="355"/>
      <c r="F27" s="446" t="s">
        <v>145</v>
      </c>
      <c r="G27" s="446"/>
      <c r="H27" s="238">
        <f>SUM(H17:H23,H25)</f>
        <v>747142.70237926603</v>
      </c>
    </row>
  </sheetData>
  <mergeCells count="16">
    <mergeCell ref="D2:H2"/>
    <mergeCell ref="B26:B27"/>
    <mergeCell ref="C26:E27"/>
    <mergeCell ref="F26:G26"/>
    <mergeCell ref="F27:G27"/>
    <mergeCell ref="C22:E22"/>
    <mergeCell ref="C23:E23"/>
    <mergeCell ref="B24:B25"/>
    <mergeCell ref="C24:E25"/>
    <mergeCell ref="F24:G24"/>
    <mergeCell ref="F25:G25"/>
    <mergeCell ref="C21:E21"/>
    <mergeCell ref="C17:G17"/>
    <mergeCell ref="C18:E18"/>
    <mergeCell ref="C19:E19"/>
    <mergeCell ref="C20:E20"/>
  </mergeCells>
  <pageMargins left="0.7" right="0.7" top="0.75" bottom="0.75" header="0.3" footer="0.3"/>
  <pageSetup scale="91"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1"/>
  <sheetViews>
    <sheetView zoomScaleNormal="100" workbookViewId="0"/>
  </sheetViews>
  <sheetFormatPr defaultRowHeight="15" x14ac:dyDescent="0.25"/>
  <cols>
    <col min="2" max="2" width="5.7109375" style="105" bestFit="1" customWidth="1"/>
    <col min="3" max="3" width="5.42578125" bestFit="1" customWidth="1"/>
    <col min="4" max="4" width="51" customWidth="1"/>
    <col min="5" max="5" width="5.85546875" customWidth="1"/>
    <col min="6" max="6" width="4.28515625" bestFit="1" customWidth="1"/>
    <col min="7" max="7" width="8.42578125" bestFit="1" customWidth="1"/>
    <col min="8" max="8" width="10.7109375" bestFit="1" customWidth="1"/>
  </cols>
  <sheetData>
    <row r="2" spans="2:10" ht="49.5" customHeight="1" x14ac:dyDescent="0.25">
      <c r="C2" s="158"/>
      <c r="D2" s="468" t="s">
        <v>374</v>
      </c>
      <c r="E2" s="468"/>
      <c r="F2" s="468"/>
      <c r="G2" s="468"/>
      <c r="H2" s="468"/>
    </row>
    <row r="3" spans="2:10" ht="25.5" x14ac:dyDescent="0.25">
      <c r="B3" s="100" t="s">
        <v>572</v>
      </c>
      <c r="C3" s="101" t="s">
        <v>229</v>
      </c>
      <c r="D3" s="101" t="s">
        <v>2</v>
      </c>
      <c r="E3" s="100" t="s">
        <v>154</v>
      </c>
      <c r="F3" s="94" t="s">
        <v>107</v>
      </c>
      <c r="G3" s="94" t="s">
        <v>231</v>
      </c>
      <c r="H3" s="94" t="s">
        <v>232</v>
      </c>
    </row>
    <row r="4" spans="2:10" x14ac:dyDescent="0.25">
      <c r="B4" s="106">
        <v>1</v>
      </c>
      <c r="C4" s="72">
        <v>165.1</v>
      </c>
      <c r="D4" s="152" t="s">
        <v>338</v>
      </c>
      <c r="E4" s="41" t="s">
        <v>157</v>
      </c>
      <c r="F4" s="22">
        <v>25</v>
      </c>
      <c r="G4" s="50">
        <v>2676.3844323438707</v>
      </c>
      <c r="H4" s="50">
        <f t="shared" ref="H4:H20" si="0">F4*G4</f>
        <v>66909.610808596772</v>
      </c>
      <c r="J4" s="46"/>
    </row>
    <row r="5" spans="2:10" x14ac:dyDescent="0.25">
      <c r="B5" s="106">
        <v>2</v>
      </c>
      <c r="C5" s="34" t="s">
        <v>614</v>
      </c>
      <c r="D5" s="152" t="s">
        <v>370</v>
      </c>
      <c r="E5" s="22" t="s">
        <v>574</v>
      </c>
      <c r="F5" s="22">
        <v>1</v>
      </c>
      <c r="G5" s="50">
        <v>283644.80328937172</v>
      </c>
      <c r="H5" s="50">
        <f t="shared" si="0"/>
        <v>283644.80328937172</v>
      </c>
      <c r="J5" s="46"/>
    </row>
    <row r="6" spans="2:10" ht="38.25" x14ac:dyDescent="0.25">
      <c r="B6" s="106">
        <v>3</v>
      </c>
      <c r="C6" s="41" t="s">
        <v>598</v>
      </c>
      <c r="D6" s="152" t="s">
        <v>599</v>
      </c>
      <c r="E6" s="22" t="s">
        <v>157</v>
      </c>
      <c r="F6" s="22">
        <v>23</v>
      </c>
      <c r="G6" s="50">
        <v>437.34</v>
      </c>
      <c r="H6" s="50">
        <f t="shared" si="0"/>
        <v>10058.82</v>
      </c>
      <c r="J6" s="46"/>
    </row>
    <row r="7" spans="2:10" ht="38.25" x14ac:dyDescent="0.25">
      <c r="B7" s="106">
        <v>4</v>
      </c>
      <c r="C7" s="41" t="s">
        <v>686</v>
      </c>
      <c r="D7" s="152" t="s">
        <v>691</v>
      </c>
      <c r="E7" s="22" t="s">
        <v>157</v>
      </c>
      <c r="F7" s="22">
        <v>2</v>
      </c>
      <c r="G7" s="50">
        <v>542.87</v>
      </c>
      <c r="H7" s="50">
        <f t="shared" si="0"/>
        <v>1085.74</v>
      </c>
      <c r="J7" s="46"/>
    </row>
    <row r="8" spans="2:10" x14ac:dyDescent="0.25">
      <c r="B8" s="106">
        <v>5</v>
      </c>
      <c r="C8" s="41">
        <v>172.1</v>
      </c>
      <c r="D8" s="42" t="s">
        <v>487</v>
      </c>
      <c r="E8" s="41" t="s">
        <v>158</v>
      </c>
      <c r="F8" s="42">
        <v>8</v>
      </c>
      <c r="G8" s="50">
        <v>599.47955225534758</v>
      </c>
      <c r="H8" s="50">
        <f t="shared" si="0"/>
        <v>4795.8364180427807</v>
      </c>
      <c r="J8" s="46"/>
    </row>
    <row r="9" spans="2:10" ht="25.5" x14ac:dyDescent="0.25">
      <c r="B9" s="106">
        <v>6</v>
      </c>
      <c r="C9" s="41" t="s">
        <v>488</v>
      </c>
      <c r="D9" s="42" t="s">
        <v>489</v>
      </c>
      <c r="E9" s="41" t="s">
        <v>250</v>
      </c>
      <c r="F9" s="42">
        <v>16</v>
      </c>
      <c r="G9" s="50">
        <v>107.92649999999999</v>
      </c>
      <c r="H9" s="50">
        <f t="shared" si="0"/>
        <v>1726.8239999999998</v>
      </c>
      <c r="J9" s="46"/>
    </row>
    <row r="10" spans="2:10" x14ac:dyDescent="0.25">
      <c r="B10" s="106">
        <v>7</v>
      </c>
      <c r="C10" s="41" t="s">
        <v>343</v>
      </c>
      <c r="D10" s="42" t="s">
        <v>344</v>
      </c>
      <c r="E10" s="41" t="s">
        <v>157</v>
      </c>
      <c r="F10" s="42">
        <v>8</v>
      </c>
      <c r="G10" s="50">
        <v>9.3044525828835791</v>
      </c>
      <c r="H10" s="50">
        <f t="shared" si="0"/>
        <v>74.435620663068633</v>
      </c>
      <c r="J10" s="46"/>
    </row>
    <row r="11" spans="2:10" x14ac:dyDescent="0.25">
      <c r="B11" s="106">
        <v>8</v>
      </c>
      <c r="C11" s="41">
        <v>19.100000000000001</v>
      </c>
      <c r="D11" s="42" t="s">
        <v>345</v>
      </c>
      <c r="E11" s="41" t="s">
        <v>222</v>
      </c>
      <c r="F11" s="42">
        <v>100</v>
      </c>
      <c r="G11" s="50">
        <v>73.140893457460592</v>
      </c>
      <c r="H11" s="50">
        <f t="shared" si="0"/>
        <v>7314.0893457460588</v>
      </c>
      <c r="J11" s="46"/>
    </row>
    <row r="12" spans="2:10" x14ac:dyDescent="0.25">
      <c r="B12" s="106">
        <v>9</v>
      </c>
      <c r="C12" s="72">
        <v>72.099999999999994</v>
      </c>
      <c r="D12" s="152" t="s">
        <v>615</v>
      </c>
      <c r="E12" s="41" t="s">
        <v>157</v>
      </c>
      <c r="F12" s="22">
        <v>60</v>
      </c>
      <c r="G12" s="50">
        <v>102.27607225978058</v>
      </c>
      <c r="H12" s="50">
        <f t="shared" si="0"/>
        <v>6136.5643355868342</v>
      </c>
      <c r="J12" s="46"/>
    </row>
    <row r="13" spans="2:10" x14ac:dyDescent="0.25">
      <c r="B13" s="106">
        <v>10</v>
      </c>
      <c r="C13" s="41" t="s">
        <v>616</v>
      </c>
      <c r="D13" s="152" t="s">
        <v>617</v>
      </c>
      <c r="E13" s="41" t="s">
        <v>157</v>
      </c>
      <c r="F13" s="22">
        <v>30</v>
      </c>
      <c r="G13" s="50">
        <v>416.05046441021028</v>
      </c>
      <c r="H13" s="50">
        <f t="shared" si="0"/>
        <v>12481.513932306309</v>
      </c>
      <c r="J13" s="46"/>
    </row>
    <row r="14" spans="2:10" ht="25.5" x14ac:dyDescent="0.25">
      <c r="B14" s="106">
        <v>11</v>
      </c>
      <c r="C14" s="84" t="s">
        <v>601</v>
      </c>
      <c r="D14" s="57" t="s">
        <v>602</v>
      </c>
      <c r="E14" s="89" t="s">
        <v>286</v>
      </c>
      <c r="F14" s="22">
        <v>10</v>
      </c>
      <c r="G14" s="50">
        <v>31.747812886539975</v>
      </c>
      <c r="H14" s="50">
        <f t="shared" si="0"/>
        <v>317.47812886539975</v>
      </c>
      <c r="J14" s="46"/>
    </row>
    <row r="15" spans="2:10" x14ac:dyDescent="0.25">
      <c r="B15" s="106">
        <v>12</v>
      </c>
      <c r="C15" s="41" t="s">
        <v>603</v>
      </c>
      <c r="D15" s="57" t="s">
        <v>604</v>
      </c>
      <c r="E15" s="89" t="s">
        <v>157</v>
      </c>
      <c r="F15" s="104">
        <v>25</v>
      </c>
      <c r="G15" s="50">
        <v>6.8786927920836618</v>
      </c>
      <c r="H15" s="50">
        <f t="shared" si="0"/>
        <v>171.96731980209154</v>
      </c>
      <c r="J15" s="46"/>
    </row>
    <row r="16" spans="2:10" x14ac:dyDescent="0.25">
      <c r="B16" s="106">
        <v>13</v>
      </c>
      <c r="C16" s="41" t="s">
        <v>605</v>
      </c>
      <c r="D16" s="152" t="s">
        <v>606</v>
      </c>
      <c r="E16" s="89" t="s">
        <v>157</v>
      </c>
      <c r="F16" s="104">
        <v>3</v>
      </c>
      <c r="G16" s="50">
        <v>132.04624311256046</v>
      </c>
      <c r="H16" s="50">
        <f t="shared" si="0"/>
        <v>396.13872933768141</v>
      </c>
      <c r="J16" s="46"/>
    </row>
    <row r="17" spans="2:10" x14ac:dyDescent="0.25">
      <c r="B17" s="106">
        <v>14</v>
      </c>
      <c r="C17" s="41" t="s">
        <v>618</v>
      </c>
      <c r="D17" s="152" t="s">
        <v>619</v>
      </c>
      <c r="E17" s="41" t="s">
        <v>157</v>
      </c>
      <c r="F17" s="104">
        <v>75</v>
      </c>
      <c r="G17" s="50">
        <v>61.379104913977294</v>
      </c>
      <c r="H17" s="50">
        <f t="shared" si="0"/>
        <v>4603.4328685482969</v>
      </c>
      <c r="J17" s="46"/>
    </row>
    <row r="18" spans="2:10" x14ac:dyDescent="0.25">
      <c r="B18" s="106">
        <v>15</v>
      </c>
      <c r="C18" s="41" t="s">
        <v>607</v>
      </c>
      <c r="D18" s="152" t="s">
        <v>608</v>
      </c>
      <c r="E18" s="41" t="s">
        <v>157</v>
      </c>
      <c r="F18" s="104">
        <v>75</v>
      </c>
      <c r="G18" s="50">
        <v>97.462703249746994</v>
      </c>
      <c r="H18" s="50">
        <f t="shared" si="0"/>
        <v>7309.7027437310244</v>
      </c>
      <c r="J18" s="46"/>
    </row>
    <row r="19" spans="2:10" ht="51" x14ac:dyDescent="0.25">
      <c r="B19" s="106">
        <v>16</v>
      </c>
      <c r="C19" s="84" t="s">
        <v>620</v>
      </c>
      <c r="D19" s="108" t="s">
        <v>621</v>
      </c>
      <c r="E19" s="41" t="s">
        <v>157</v>
      </c>
      <c r="F19" s="104">
        <v>25</v>
      </c>
      <c r="G19" s="50">
        <v>1183.3857690482453</v>
      </c>
      <c r="H19" s="50">
        <f t="shared" si="0"/>
        <v>29584.644226206132</v>
      </c>
      <c r="J19" s="46"/>
    </row>
    <row r="20" spans="2:10" ht="25.5" x14ac:dyDescent="0.25">
      <c r="B20" s="106">
        <v>17</v>
      </c>
      <c r="C20" s="41" t="s">
        <v>609</v>
      </c>
      <c r="D20" s="152" t="s">
        <v>610</v>
      </c>
      <c r="E20" s="41" t="s">
        <v>157</v>
      </c>
      <c r="F20" s="104">
        <v>25</v>
      </c>
      <c r="G20" s="50">
        <v>63.495625773079951</v>
      </c>
      <c r="H20" s="50">
        <f t="shared" si="0"/>
        <v>1587.3906443269989</v>
      </c>
      <c r="J20" s="46"/>
    </row>
    <row r="21" spans="2:10" x14ac:dyDescent="0.25">
      <c r="B21" s="94" t="s">
        <v>74</v>
      </c>
      <c r="C21" s="450" t="s">
        <v>254</v>
      </c>
      <c r="D21" s="450"/>
      <c r="E21" s="450"/>
      <c r="F21" s="450"/>
      <c r="G21" s="450"/>
      <c r="H21" s="242">
        <f>SUM(H4:H20)</f>
        <v>438198.99241113116</v>
      </c>
    </row>
    <row r="22" spans="2:10" x14ac:dyDescent="0.25">
      <c r="B22" s="41" t="s">
        <v>75</v>
      </c>
      <c r="C22" s="446" t="s">
        <v>255</v>
      </c>
      <c r="D22" s="446"/>
      <c r="E22" s="446"/>
      <c r="F22" s="52" t="s">
        <v>227</v>
      </c>
      <c r="G22" s="53">
        <v>0.03</v>
      </c>
      <c r="H22" s="237">
        <f t="shared" ref="H22:H27" si="1">G22*$H$21</f>
        <v>13145.969772333934</v>
      </c>
    </row>
    <row r="23" spans="2:10" x14ac:dyDescent="0.25">
      <c r="B23" s="41" t="s">
        <v>76</v>
      </c>
      <c r="C23" s="446" t="s">
        <v>256</v>
      </c>
      <c r="D23" s="446"/>
      <c r="E23" s="446"/>
      <c r="F23" s="52" t="s">
        <v>227</v>
      </c>
      <c r="G23" s="53">
        <v>0.03</v>
      </c>
      <c r="H23" s="237">
        <f t="shared" si="1"/>
        <v>13145.969772333934</v>
      </c>
    </row>
    <row r="24" spans="2:10" x14ac:dyDescent="0.25">
      <c r="B24" s="41" t="s">
        <v>77</v>
      </c>
      <c r="C24" s="446" t="s">
        <v>257</v>
      </c>
      <c r="D24" s="446"/>
      <c r="E24" s="446"/>
      <c r="F24" s="52" t="s">
        <v>227</v>
      </c>
      <c r="G24" s="53">
        <v>0.03</v>
      </c>
      <c r="H24" s="237">
        <f t="shared" si="1"/>
        <v>13145.969772333934</v>
      </c>
    </row>
    <row r="25" spans="2:10" x14ac:dyDescent="0.25">
      <c r="B25" s="41" t="s">
        <v>78</v>
      </c>
      <c r="C25" s="446" t="s">
        <v>258</v>
      </c>
      <c r="D25" s="446"/>
      <c r="E25" s="446"/>
      <c r="F25" s="52" t="s">
        <v>227</v>
      </c>
      <c r="G25" s="53">
        <v>0.04</v>
      </c>
      <c r="H25" s="237">
        <f t="shared" si="1"/>
        <v>17527.959696445247</v>
      </c>
    </row>
    <row r="26" spans="2:10" x14ac:dyDescent="0.25">
      <c r="B26" s="41" t="s">
        <v>213</v>
      </c>
      <c r="C26" s="446" t="s">
        <v>259</v>
      </c>
      <c r="D26" s="446"/>
      <c r="E26" s="446"/>
      <c r="F26" s="52" t="s">
        <v>227</v>
      </c>
      <c r="G26" s="53">
        <v>0.02</v>
      </c>
      <c r="H26" s="237">
        <f t="shared" si="1"/>
        <v>8763.9798482226233</v>
      </c>
    </row>
    <row r="27" spans="2:10" x14ac:dyDescent="0.25">
      <c r="B27" s="41" t="s">
        <v>92</v>
      </c>
      <c r="C27" s="446" t="s">
        <v>260</v>
      </c>
      <c r="D27" s="446"/>
      <c r="E27" s="446"/>
      <c r="F27" s="52" t="s">
        <v>227</v>
      </c>
      <c r="G27" s="53">
        <v>0.1</v>
      </c>
      <c r="H27" s="237">
        <f t="shared" si="1"/>
        <v>43819.899241113118</v>
      </c>
    </row>
    <row r="28" spans="2:10" x14ac:dyDescent="0.25">
      <c r="B28" s="352" t="s">
        <v>93</v>
      </c>
      <c r="C28" s="451" t="s">
        <v>261</v>
      </c>
      <c r="D28" s="452"/>
      <c r="E28" s="453"/>
      <c r="F28" s="457" t="s">
        <v>144</v>
      </c>
      <c r="G28" s="458"/>
      <c r="H28" s="237">
        <f>'AB Cable labour'!Q41</f>
        <v>118586.08334408286</v>
      </c>
    </row>
    <row r="29" spans="2:10" x14ac:dyDescent="0.25">
      <c r="B29" s="353"/>
      <c r="C29" s="454"/>
      <c r="D29" s="455"/>
      <c r="E29" s="456"/>
      <c r="F29" s="457" t="s">
        <v>145</v>
      </c>
      <c r="G29" s="458"/>
      <c r="H29" s="237">
        <f>'AB Cable labour'!R41</f>
        <v>123371.20950662573</v>
      </c>
    </row>
    <row r="30" spans="2:10" x14ac:dyDescent="0.25">
      <c r="B30" s="331" t="s">
        <v>94</v>
      </c>
      <c r="C30" s="355" t="s">
        <v>262</v>
      </c>
      <c r="D30" s="355"/>
      <c r="E30" s="355"/>
      <c r="F30" s="446" t="s">
        <v>144</v>
      </c>
      <c r="G30" s="446"/>
      <c r="H30" s="238">
        <f>SUM(H21:H28)</f>
        <v>666334.82385799673</v>
      </c>
    </row>
    <row r="31" spans="2:10" ht="13.5" customHeight="1" x14ac:dyDescent="0.25">
      <c r="B31" s="331"/>
      <c r="C31" s="355"/>
      <c r="D31" s="355"/>
      <c r="E31" s="355"/>
      <c r="F31" s="446" t="s">
        <v>145</v>
      </c>
      <c r="G31" s="446"/>
      <c r="H31" s="238">
        <f>SUM(H21:H27,H29)</f>
        <v>671119.95002053969</v>
      </c>
    </row>
  </sheetData>
  <mergeCells count="16">
    <mergeCell ref="D2:H2"/>
    <mergeCell ref="B30:B31"/>
    <mergeCell ref="C30:E31"/>
    <mergeCell ref="F30:G30"/>
    <mergeCell ref="F31:G31"/>
    <mergeCell ref="C26:E26"/>
    <mergeCell ref="C27:E27"/>
    <mergeCell ref="B28:B29"/>
    <mergeCell ref="C28:E29"/>
    <mergeCell ref="F28:G28"/>
    <mergeCell ref="F29:G29"/>
    <mergeCell ref="C25:E25"/>
    <mergeCell ref="C21:G21"/>
    <mergeCell ref="C22:E22"/>
    <mergeCell ref="C23:E23"/>
    <mergeCell ref="C24:E24"/>
  </mergeCells>
  <pageMargins left="0.7" right="0.7" top="0.75" bottom="0.75" header="0.3" footer="0.3"/>
  <pageSetup scale="98"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1"/>
  <sheetViews>
    <sheetView zoomScaleNormal="100" workbookViewId="0"/>
  </sheetViews>
  <sheetFormatPr defaultRowHeight="15" x14ac:dyDescent="0.25"/>
  <cols>
    <col min="2" max="2" width="5.7109375" style="105" bestFit="1" customWidth="1"/>
    <col min="3" max="3" width="5.42578125" bestFit="1" customWidth="1"/>
    <col min="4" max="4" width="51" customWidth="1"/>
    <col min="5" max="5" width="4.7109375" bestFit="1" customWidth="1"/>
    <col min="6" max="6" width="4.28515625" bestFit="1" customWidth="1"/>
    <col min="7" max="7" width="8.42578125" bestFit="1" customWidth="1"/>
    <col min="8" max="8" width="9.7109375" bestFit="1" customWidth="1"/>
  </cols>
  <sheetData>
    <row r="2" spans="2:10" ht="49.5" customHeight="1" x14ac:dyDescent="0.25">
      <c r="C2" s="158"/>
      <c r="D2" s="447" t="s">
        <v>375</v>
      </c>
      <c r="E2" s="448"/>
      <c r="F2" s="448"/>
      <c r="G2" s="448"/>
      <c r="H2" s="449"/>
    </row>
    <row r="3" spans="2:10" ht="25.5" x14ac:dyDescent="0.25">
      <c r="B3" s="100" t="s">
        <v>572</v>
      </c>
      <c r="C3" s="101" t="s">
        <v>229</v>
      </c>
      <c r="D3" s="101" t="s">
        <v>2</v>
      </c>
      <c r="E3" s="100" t="s">
        <v>154</v>
      </c>
      <c r="F3" s="94" t="s">
        <v>107</v>
      </c>
      <c r="G3" s="94" t="s">
        <v>231</v>
      </c>
      <c r="H3" s="94" t="s">
        <v>232</v>
      </c>
    </row>
    <row r="4" spans="2:10" x14ac:dyDescent="0.25">
      <c r="B4" s="106">
        <v>1</v>
      </c>
      <c r="C4" s="72">
        <v>165.1</v>
      </c>
      <c r="D4" s="152" t="s">
        <v>338</v>
      </c>
      <c r="E4" s="41" t="s">
        <v>157</v>
      </c>
      <c r="F4" s="22">
        <v>25</v>
      </c>
      <c r="G4" s="50">
        <v>2676.3844323438707</v>
      </c>
      <c r="H4" s="50">
        <f t="shared" ref="H4:H20" si="0">F4*G4</f>
        <v>66909.610808596772</v>
      </c>
      <c r="J4" s="46"/>
    </row>
    <row r="5" spans="2:10" x14ac:dyDescent="0.25">
      <c r="B5" s="106">
        <v>2</v>
      </c>
      <c r="C5" s="86">
        <v>29.3</v>
      </c>
      <c r="D5" s="82" t="s">
        <v>622</v>
      </c>
      <c r="E5" s="41" t="s">
        <v>234</v>
      </c>
      <c r="F5" s="22">
        <v>1</v>
      </c>
      <c r="G5" s="50">
        <v>130724.03436943369</v>
      </c>
      <c r="H5" s="50">
        <f t="shared" si="0"/>
        <v>130724.03436943369</v>
      </c>
      <c r="J5" s="46"/>
    </row>
    <row r="6" spans="2:10" ht="38.25" x14ac:dyDescent="0.25">
      <c r="B6" s="106">
        <v>3</v>
      </c>
      <c r="C6" s="41" t="s">
        <v>689</v>
      </c>
      <c r="D6" s="152" t="s">
        <v>690</v>
      </c>
      <c r="E6" s="22" t="s">
        <v>157</v>
      </c>
      <c r="F6" s="22">
        <v>23</v>
      </c>
      <c r="G6" s="50">
        <v>413.89</v>
      </c>
      <c r="H6" s="50">
        <f t="shared" si="0"/>
        <v>9519.4699999999993</v>
      </c>
      <c r="J6" s="46"/>
    </row>
    <row r="7" spans="2:10" ht="38.25" x14ac:dyDescent="0.25">
      <c r="B7" s="106">
        <v>4</v>
      </c>
      <c r="C7" s="41" t="s">
        <v>687</v>
      </c>
      <c r="D7" s="152" t="s">
        <v>688</v>
      </c>
      <c r="E7" s="22" t="s">
        <v>157</v>
      </c>
      <c r="F7" s="22">
        <v>2</v>
      </c>
      <c r="G7" s="50">
        <v>507.69</v>
      </c>
      <c r="H7" s="50">
        <f t="shared" si="0"/>
        <v>1015.38</v>
      </c>
      <c r="J7" s="46"/>
    </row>
    <row r="8" spans="2:10" x14ac:dyDescent="0.25">
      <c r="B8" s="106">
        <v>5</v>
      </c>
      <c r="C8" s="41">
        <v>172.1</v>
      </c>
      <c r="D8" s="42" t="s">
        <v>487</v>
      </c>
      <c r="E8" s="41" t="s">
        <v>158</v>
      </c>
      <c r="F8" s="42">
        <v>8</v>
      </c>
      <c r="G8" s="50">
        <v>599.47955225534758</v>
      </c>
      <c r="H8" s="50">
        <f t="shared" si="0"/>
        <v>4795.8364180427807</v>
      </c>
      <c r="J8" s="46"/>
    </row>
    <row r="9" spans="2:10" ht="25.5" x14ac:dyDescent="0.25">
      <c r="B9" s="106">
        <v>6</v>
      </c>
      <c r="C9" s="41" t="s">
        <v>488</v>
      </c>
      <c r="D9" s="42" t="s">
        <v>489</v>
      </c>
      <c r="E9" s="41" t="s">
        <v>250</v>
      </c>
      <c r="F9" s="42">
        <v>16</v>
      </c>
      <c r="G9" s="50">
        <v>107.92649999999999</v>
      </c>
      <c r="H9" s="50">
        <f t="shared" si="0"/>
        <v>1726.8239999999998</v>
      </c>
      <c r="J9" s="46"/>
    </row>
    <row r="10" spans="2:10" x14ac:dyDescent="0.25">
      <c r="B10" s="106">
        <v>7</v>
      </c>
      <c r="C10" s="41" t="s">
        <v>343</v>
      </c>
      <c r="D10" s="42" t="s">
        <v>344</v>
      </c>
      <c r="E10" s="41" t="s">
        <v>157</v>
      </c>
      <c r="F10" s="42">
        <v>8</v>
      </c>
      <c r="G10" s="50">
        <v>9.3044525828835791</v>
      </c>
      <c r="H10" s="50">
        <f t="shared" si="0"/>
        <v>74.435620663068633</v>
      </c>
      <c r="J10" s="46"/>
    </row>
    <row r="11" spans="2:10" x14ac:dyDescent="0.25">
      <c r="B11" s="106">
        <v>8</v>
      </c>
      <c r="C11" s="41">
        <v>19.100000000000001</v>
      </c>
      <c r="D11" s="42" t="s">
        <v>345</v>
      </c>
      <c r="E11" s="41" t="s">
        <v>222</v>
      </c>
      <c r="F11" s="42">
        <v>100</v>
      </c>
      <c r="G11" s="50">
        <v>73.140893457460592</v>
      </c>
      <c r="H11" s="50">
        <f t="shared" si="0"/>
        <v>7314.0893457460588</v>
      </c>
      <c r="J11" s="46"/>
    </row>
    <row r="12" spans="2:10" x14ac:dyDescent="0.25">
      <c r="B12" s="106">
        <v>9</v>
      </c>
      <c r="C12" s="72">
        <v>72.099999999999994</v>
      </c>
      <c r="D12" s="152" t="s">
        <v>615</v>
      </c>
      <c r="E12" s="41" t="s">
        <v>157</v>
      </c>
      <c r="F12" s="22">
        <v>60</v>
      </c>
      <c r="G12" s="50">
        <v>102.27607225978058</v>
      </c>
      <c r="H12" s="50">
        <f t="shared" si="0"/>
        <v>6136.5643355868342</v>
      </c>
      <c r="J12" s="46"/>
    </row>
    <row r="13" spans="2:10" x14ac:dyDescent="0.25">
      <c r="B13" s="106">
        <v>10</v>
      </c>
      <c r="C13" s="41" t="s">
        <v>616</v>
      </c>
      <c r="D13" s="152" t="s">
        <v>617</v>
      </c>
      <c r="E13" s="41" t="s">
        <v>157</v>
      </c>
      <c r="F13" s="22">
        <v>30</v>
      </c>
      <c r="G13" s="50">
        <v>416.05046441021028</v>
      </c>
      <c r="H13" s="50">
        <f t="shared" si="0"/>
        <v>12481.513932306309</v>
      </c>
      <c r="J13" s="46"/>
    </row>
    <row r="14" spans="2:10" ht="25.5" x14ac:dyDescent="0.25">
      <c r="B14" s="106">
        <v>11</v>
      </c>
      <c r="C14" s="84" t="s">
        <v>601</v>
      </c>
      <c r="D14" s="57" t="s">
        <v>602</v>
      </c>
      <c r="E14" s="89" t="s">
        <v>286</v>
      </c>
      <c r="F14" s="22">
        <v>10</v>
      </c>
      <c r="G14" s="50">
        <v>31.747812886539975</v>
      </c>
      <c r="H14" s="50">
        <f t="shared" si="0"/>
        <v>317.47812886539975</v>
      </c>
      <c r="J14" s="46"/>
    </row>
    <row r="15" spans="2:10" x14ac:dyDescent="0.25">
      <c r="B15" s="106">
        <v>12</v>
      </c>
      <c r="C15" s="41" t="s">
        <v>603</v>
      </c>
      <c r="D15" s="57" t="s">
        <v>604</v>
      </c>
      <c r="E15" s="89" t="s">
        <v>157</v>
      </c>
      <c r="F15" s="104">
        <v>25</v>
      </c>
      <c r="G15" s="50">
        <v>6.8786927920836618</v>
      </c>
      <c r="H15" s="137">
        <f t="shared" si="0"/>
        <v>171.96731980209154</v>
      </c>
      <c r="J15" s="46"/>
    </row>
    <row r="16" spans="2:10" x14ac:dyDescent="0.25">
      <c r="B16" s="106">
        <v>13</v>
      </c>
      <c r="C16" s="41" t="s">
        <v>605</v>
      </c>
      <c r="D16" s="152" t="s">
        <v>623</v>
      </c>
      <c r="E16" s="89" t="s">
        <v>157</v>
      </c>
      <c r="F16" s="104">
        <v>3</v>
      </c>
      <c r="G16" s="50">
        <v>132.04624311256046</v>
      </c>
      <c r="H16" s="137">
        <f t="shared" si="0"/>
        <v>396.13872933768141</v>
      </c>
      <c r="J16" s="46"/>
    </row>
    <row r="17" spans="2:10" x14ac:dyDescent="0.25">
      <c r="B17" s="106">
        <v>14</v>
      </c>
      <c r="C17" s="41" t="s">
        <v>618</v>
      </c>
      <c r="D17" s="152" t="s">
        <v>619</v>
      </c>
      <c r="E17" s="41" t="s">
        <v>157</v>
      </c>
      <c r="F17" s="104">
        <v>75</v>
      </c>
      <c r="G17" s="50">
        <v>61.379104913977294</v>
      </c>
      <c r="H17" s="137">
        <f t="shared" si="0"/>
        <v>4603.4328685482969</v>
      </c>
      <c r="J17" s="46"/>
    </row>
    <row r="18" spans="2:10" x14ac:dyDescent="0.25">
      <c r="B18" s="106">
        <v>15</v>
      </c>
      <c r="C18" s="41" t="s">
        <v>607</v>
      </c>
      <c r="D18" s="152" t="s">
        <v>608</v>
      </c>
      <c r="E18" s="41" t="s">
        <v>157</v>
      </c>
      <c r="F18" s="104">
        <v>75</v>
      </c>
      <c r="G18" s="50">
        <v>97.462703249746994</v>
      </c>
      <c r="H18" s="137">
        <f t="shared" si="0"/>
        <v>7309.7027437310244</v>
      </c>
      <c r="J18" s="46"/>
    </row>
    <row r="19" spans="2:10" ht="51" x14ac:dyDescent="0.25">
      <c r="B19" s="106">
        <v>16</v>
      </c>
      <c r="C19" s="84" t="s">
        <v>620</v>
      </c>
      <c r="D19" s="108" t="s">
        <v>621</v>
      </c>
      <c r="E19" s="41" t="s">
        <v>157</v>
      </c>
      <c r="F19" s="104">
        <v>25</v>
      </c>
      <c r="G19" s="50">
        <v>1183.3857690482453</v>
      </c>
      <c r="H19" s="137">
        <f t="shared" si="0"/>
        <v>29584.644226206132</v>
      </c>
      <c r="J19" s="46"/>
    </row>
    <row r="20" spans="2:10" ht="25.5" x14ac:dyDescent="0.25">
      <c r="B20" s="106">
        <v>17</v>
      </c>
      <c r="C20" s="41" t="s">
        <v>609</v>
      </c>
      <c r="D20" s="152" t="s">
        <v>610</v>
      </c>
      <c r="E20" s="41" t="s">
        <v>157</v>
      </c>
      <c r="F20" s="104">
        <v>25</v>
      </c>
      <c r="G20" s="50">
        <v>63.495625773079951</v>
      </c>
      <c r="H20" s="137">
        <f t="shared" si="0"/>
        <v>1587.3906443269989</v>
      </c>
      <c r="J20" s="46"/>
    </row>
    <row r="21" spans="2:10" x14ac:dyDescent="0.25">
      <c r="B21" s="94" t="s">
        <v>74</v>
      </c>
      <c r="C21" s="450" t="s">
        <v>254</v>
      </c>
      <c r="D21" s="450"/>
      <c r="E21" s="450"/>
      <c r="F21" s="450"/>
      <c r="G21" s="450"/>
      <c r="H21" s="127">
        <f>SUM(H4:H20)</f>
        <v>284668.51349119312</v>
      </c>
    </row>
    <row r="22" spans="2:10" x14ac:dyDescent="0.25">
      <c r="B22" s="41" t="s">
        <v>75</v>
      </c>
      <c r="C22" s="446" t="s">
        <v>255</v>
      </c>
      <c r="D22" s="446"/>
      <c r="E22" s="446"/>
      <c r="F22" s="52" t="s">
        <v>227</v>
      </c>
      <c r="G22" s="53">
        <v>0.03</v>
      </c>
      <c r="H22" s="50">
        <f>G22*$H$21</f>
        <v>8540.0554047357928</v>
      </c>
    </row>
    <row r="23" spans="2:10" x14ac:dyDescent="0.25">
      <c r="B23" s="41" t="s">
        <v>76</v>
      </c>
      <c r="C23" s="446" t="s">
        <v>256</v>
      </c>
      <c r="D23" s="446"/>
      <c r="E23" s="446"/>
      <c r="F23" s="52" t="s">
        <v>227</v>
      </c>
      <c r="G23" s="53">
        <v>0.03</v>
      </c>
      <c r="H23" s="50">
        <f t="shared" ref="H23:H27" si="1">G23*$H$21</f>
        <v>8540.0554047357928</v>
      </c>
    </row>
    <row r="24" spans="2:10" x14ac:dyDescent="0.25">
      <c r="B24" s="41" t="s">
        <v>77</v>
      </c>
      <c r="C24" s="446" t="s">
        <v>257</v>
      </c>
      <c r="D24" s="446"/>
      <c r="E24" s="446"/>
      <c r="F24" s="52" t="s">
        <v>227</v>
      </c>
      <c r="G24" s="53">
        <v>0.03</v>
      </c>
      <c r="H24" s="50">
        <f t="shared" si="1"/>
        <v>8540.0554047357928</v>
      </c>
    </row>
    <row r="25" spans="2:10" x14ac:dyDescent="0.25">
      <c r="B25" s="41" t="s">
        <v>78</v>
      </c>
      <c r="C25" s="446" t="s">
        <v>258</v>
      </c>
      <c r="D25" s="446"/>
      <c r="E25" s="446"/>
      <c r="F25" s="52" t="s">
        <v>227</v>
      </c>
      <c r="G25" s="53">
        <v>0.04</v>
      </c>
      <c r="H25" s="50">
        <f t="shared" si="1"/>
        <v>11386.740539647724</v>
      </c>
    </row>
    <row r="26" spans="2:10" x14ac:dyDescent="0.25">
      <c r="B26" s="41" t="s">
        <v>213</v>
      </c>
      <c r="C26" s="446" t="s">
        <v>259</v>
      </c>
      <c r="D26" s="446"/>
      <c r="E26" s="446"/>
      <c r="F26" s="52" t="s">
        <v>227</v>
      </c>
      <c r="G26" s="53">
        <v>0.02</v>
      </c>
      <c r="H26" s="50">
        <f t="shared" si="1"/>
        <v>5693.3702698238621</v>
      </c>
    </row>
    <row r="27" spans="2:10" x14ac:dyDescent="0.25">
      <c r="B27" s="41" t="s">
        <v>92</v>
      </c>
      <c r="C27" s="446" t="s">
        <v>260</v>
      </c>
      <c r="D27" s="446"/>
      <c r="E27" s="446"/>
      <c r="F27" s="52" t="s">
        <v>227</v>
      </c>
      <c r="G27" s="53">
        <v>0.1</v>
      </c>
      <c r="H27" s="50">
        <f t="shared" si="1"/>
        <v>28466.851349119315</v>
      </c>
    </row>
    <row r="28" spans="2:10" x14ac:dyDescent="0.25">
      <c r="B28" s="352" t="s">
        <v>93</v>
      </c>
      <c r="C28" s="451" t="s">
        <v>261</v>
      </c>
      <c r="D28" s="452"/>
      <c r="E28" s="453"/>
      <c r="F28" s="457" t="s">
        <v>144</v>
      </c>
      <c r="G28" s="458"/>
      <c r="H28" s="50">
        <f>'AB Cable labour'!T41</f>
        <v>119757.09091871783</v>
      </c>
    </row>
    <row r="29" spans="2:10" x14ac:dyDescent="0.25">
      <c r="B29" s="353"/>
      <c r="C29" s="454"/>
      <c r="D29" s="455"/>
      <c r="E29" s="456"/>
      <c r="F29" s="457" t="s">
        <v>145</v>
      </c>
      <c r="G29" s="458"/>
      <c r="H29" s="50">
        <f>'AB Cable labour'!U41</f>
        <v>124542.21708126071</v>
      </c>
    </row>
    <row r="30" spans="2:10" x14ac:dyDescent="0.25">
      <c r="B30" s="331" t="s">
        <v>94</v>
      </c>
      <c r="C30" s="355" t="s">
        <v>262</v>
      </c>
      <c r="D30" s="355"/>
      <c r="E30" s="355"/>
      <c r="F30" s="446" t="s">
        <v>144</v>
      </c>
      <c r="G30" s="446"/>
      <c r="H30" s="128">
        <f>SUM(H21:H28)</f>
        <v>475592.73278270924</v>
      </c>
    </row>
    <row r="31" spans="2:10" x14ac:dyDescent="0.25">
      <c r="B31" s="331"/>
      <c r="C31" s="355"/>
      <c r="D31" s="355"/>
      <c r="E31" s="355"/>
      <c r="F31" s="446" t="s">
        <v>145</v>
      </c>
      <c r="G31" s="446"/>
      <c r="H31" s="128">
        <f>SUM(H21:H27,H29)</f>
        <v>480377.85894525208</v>
      </c>
    </row>
  </sheetData>
  <mergeCells count="16">
    <mergeCell ref="D2:H2"/>
    <mergeCell ref="B30:B31"/>
    <mergeCell ref="C30:E31"/>
    <mergeCell ref="F30:G30"/>
    <mergeCell ref="F31:G31"/>
    <mergeCell ref="C26:E26"/>
    <mergeCell ref="C27:E27"/>
    <mergeCell ref="B28:B29"/>
    <mergeCell ref="C28:E29"/>
    <mergeCell ref="F28:G28"/>
    <mergeCell ref="F29:G29"/>
    <mergeCell ref="C25:E25"/>
    <mergeCell ref="C21:G21"/>
    <mergeCell ref="C22:E22"/>
    <mergeCell ref="C23:E23"/>
    <mergeCell ref="C24:E24"/>
  </mergeCells>
  <pageMargins left="0.7" right="0.7" top="0.75" bottom="0.75" header="0.3" footer="0.3"/>
  <pageSetup scale="91"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0"/>
  <sheetViews>
    <sheetView zoomScaleNormal="100" workbookViewId="0"/>
  </sheetViews>
  <sheetFormatPr defaultRowHeight="15" x14ac:dyDescent="0.25"/>
  <cols>
    <col min="2" max="2" width="5.7109375" style="105" bestFit="1" customWidth="1"/>
    <col min="3" max="3" width="5.28515625" customWidth="1"/>
    <col min="4" max="4" width="51" customWidth="1"/>
    <col min="5" max="5" width="4.7109375" style="105" bestFit="1" customWidth="1"/>
    <col min="6" max="6" width="4.28515625" style="105" bestFit="1" customWidth="1"/>
    <col min="7" max="7" width="10.42578125" bestFit="1" customWidth="1"/>
    <col min="8" max="8" width="12.28515625" bestFit="1" customWidth="1"/>
  </cols>
  <sheetData>
    <row r="1" spans="2:10" x14ac:dyDescent="0.25">
      <c r="B1" s="98"/>
      <c r="C1" s="99"/>
      <c r="D1" s="99"/>
      <c r="E1" s="98"/>
      <c r="F1" s="98"/>
      <c r="G1" s="99"/>
      <c r="H1" s="99"/>
    </row>
    <row r="2" spans="2:10" ht="49.5" customHeight="1" x14ac:dyDescent="0.25">
      <c r="C2" s="158"/>
      <c r="D2" s="447" t="s">
        <v>856</v>
      </c>
      <c r="E2" s="448"/>
      <c r="F2" s="448"/>
      <c r="G2" s="448"/>
      <c r="H2" s="449"/>
    </row>
    <row r="3" spans="2:10" ht="25.5" x14ac:dyDescent="0.25">
      <c r="B3" s="100" t="s">
        <v>572</v>
      </c>
      <c r="C3" s="101" t="s">
        <v>229</v>
      </c>
      <c r="D3" s="101" t="s">
        <v>2</v>
      </c>
      <c r="E3" s="100" t="s">
        <v>154</v>
      </c>
      <c r="F3" s="245" t="s">
        <v>107</v>
      </c>
      <c r="G3" s="245" t="s">
        <v>231</v>
      </c>
      <c r="H3" s="245" t="s">
        <v>232</v>
      </c>
    </row>
    <row r="4" spans="2:10" ht="20.25" customHeight="1" x14ac:dyDescent="0.25">
      <c r="B4" s="34">
        <v>1</v>
      </c>
      <c r="C4" s="34" t="s">
        <v>573</v>
      </c>
      <c r="D4" s="244" t="s">
        <v>858</v>
      </c>
      <c r="E4" s="22" t="s">
        <v>574</v>
      </c>
      <c r="F4" s="22">
        <v>2</v>
      </c>
      <c r="G4" s="237">
        <v>2531585.9470242718</v>
      </c>
      <c r="H4" s="237">
        <f t="shared" ref="H4:H9" si="0">F4*G4</f>
        <v>5063171.8940485436</v>
      </c>
      <c r="J4" s="46"/>
    </row>
    <row r="5" spans="2:10" ht="25.5" x14ac:dyDescent="0.25">
      <c r="B5" s="34">
        <v>2</v>
      </c>
      <c r="C5" s="253">
        <v>146.1</v>
      </c>
      <c r="D5" s="250" t="s">
        <v>859</v>
      </c>
      <c r="E5" s="22" t="s">
        <v>158</v>
      </c>
      <c r="F5" s="22">
        <v>4</v>
      </c>
      <c r="G5" s="50">
        <v>97068</v>
      </c>
      <c r="H5" s="237">
        <f t="shared" si="0"/>
        <v>388272</v>
      </c>
      <c r="J5" s="46"/>
    </row>
    <row r="6" spans="2:10" ht="25.5" x14ac:dyDescent="0.25">
      <c r="B6" s="34">
        <v>3</v>
      </c>
      <c r="C6" s="72">
        <v>145.1</v>
      </c>
      <c r="D6" s="250" t="s">
        <v>884</v>
      </c>
      <c r="E6" s="22" t="s">
        <v>158</v>
      </c>
      <c r="F6" s="22">
        <v>1</v>
      </c>
      <c r="G6" s="50">
        <v>28216</v>
      </c>
      <c r="H6" s="237">
        <f t="shared" si="0"/>
        <v>28216</v>
      </c>
      <c r="J6" s="46"/>
    </row>
    <row r="7" spans="2:10" ht="25.5" x14ac:dyDescent="0.25">
      <c r="B7" s="34">
        <v>4</v>
      </c>
      <c r="C7" s="72">
        <v>144.1</v>
      </c>
      <c r="D7" s="250" t="s">
        <v>885</v>
      </c>
      <c r="E7" s="22" t="s">
        <v>158</v>
      </c>
      <c r="F7" s="22">
        <v>1</v>
      </c>
      <c r="G7" s="50">
        <v>45347</v>
      </c>
      <c r="H7" s="237">
        <f t="shared" si="0"/>
        <v>45347</v>
      </c>
      <c r="J7" s="46"/>
    </row>
    <row r="8" spans="2:10" ht="20.25" customHeight="1" x14ac:dyDescent="0.25">
      <c r="B8" s="34">
        <v>5</v>
      </c>
      <c r="C8" s="41" t="s">
        <v>581</v>
      </c>
      <c r="D8" s="57" t="s">
        <v>624</v>
      </c>
      <c r="E8" s="22" t="s">
        <v>574</v>
      </c>
      <c r="F8" s="22">
        <v>2</v>
      </c>
      <c r="G8" s="50">
        <v>1203</v>
      </c>
      <c r="H8" s="237">
        <f t="shared" si="0"/>
        <v>2406</v>
      </c>
      <c r="J8" s="46"/>
    </row>
    <row r="9" spans="2:10" ht="20.25" customHeight="1" x14ac:dyDescent="0.25">
      <c r="B9" s="34">
        <v>6</v>
      </c>
      <c r="C9" s="22"/>
      <c r="D9" s="103" t="s">
        <v>583</v>
      </c>
      <c r="E9" s="22" t="s">
        <v>157</v>
      </c>
      <c r="F9" s="22">
        <v>40</v>
      </c>
      <c r="G9" s="102">
        <v>139</v>
      </c>
      <c r="H9" s="237">
        <f t="shared" si="0"/>
        <v>5560</v>
      </c>
      <c r="J9" s="46"/>
    </row>
    <row r="10" spans="2:10" x14ac:dyDescent="0.25">
      <c r="B10" s="245" t="s">
        <v>74</v>
      </c>
      <c r="C10" s="450" t="s">
        <v>254</v>
      </c>
      <c r="D10" s="450"/>
      <c r="E10" s="450"/>
      <c r="F10" s="450"/>
      <c r="G10" s="450"/>
      <c r="H10" s="242">
        <f>SUM(H4:H9)</f>
        <v>5532972.8940485436</v>
      </c>
    </row>
    <row r="11" spans="2:10" x14ac:dyDescent="0.25">
      <c r="B11" s="41" t="s">
        <v>75</v>
      </c>
      <c r="C11" s="446" t="s">
        <v>255</v>
      </c>
      <c r="D11" s="446"/>
      <c r="E11" s="446"/>
      <c r="F11" s="52" t="s">
        <v>227</v>
      </c>
      <c r="G11" s="53">
        <v>0.03</v>
      </c>
      <c r="H11" s="237">
        <f t="shared" ref="H11:H16" si="1">G11*$H$10</f>
        <v>165989.1868214563</v>
      </c>
    </row>
    <row r="12" spans="2:10" x14ac:dyDescent="0.25">
      <c r="B12" s="41" t="s">
        <v>76</v>
      </c>
      <c r="C12" s="446" t="s">
        <v>256</v>
      </c>
      <c r="D12" s="446"/>
      <c r="E12" s="446"/>
      <c r="F12" s="52" t="s">
        <v>227</v>
      </c>
      <c r="G12" s="53">
        <v>0.03</v>
      </c>
      <c r="H12" s="237">
        <f t="shared" si="1"/>
        <v>165989.1868214563</v>
      </c>
    </row>
    <row r="13" spans="2:10" x14ac:dyDescent="0.25">
      <c r="B13" s="41" t="s">
        <v>77</v>
      </c>
      <c r="C13" s="446" t="s">
        <v>257</v>
      </c>
      <c r="D13" s="446"/>
      <c r="E13" s="446"/>
      <c r="F13" s="52" t="s">
        <v>227</v>
      </c>
      <c r="G13" s="53">
        <v>0.03</v>
      </c>
      <c r="H13" s="237">
        <f t="shared" si="1"/>
        <v>165989.1868214563</v>
      </c>
    </row>
    <row r="14" spans="2:10" x14ac:dyDescent="0.25">
      <c r="B14" s="41" t="s">
        <v>78</v>
      </c>
      <c r="C14" s="446" t="s">
        <v>258</v>
      </c>
      <c r="D14" s="446"/>
      <c r="E14" s="446"/>
      <c r="F14" s="52" t="s">
        <v>227</v>
      </c>
      <c r="G14" s="53">
        <v>0.04</v>
      </c>
      <c r="H14" s="237">
        <f t="shared" si="1"/>
        <v>221318.91576194175</v>
      </c>
    </row>
    <row r="15" spans="2:10" x14ac:dyDescent="0.25">
      <c r="B15" s="41" t="s">
        <v>213</v>
      </c>
      <c r="C15" s="446" t="s">
        <v>259</v>
      </c>
      <c r="D15" s="446"/>
      <c r="E15" s="446"/>
      <c r="F15" s="52" t="s">
        <v>227</v>
      </c>
      <c r="G15" s="53">
        <v>0.02</v>
      </c>
      <c r="H15" s="237">
        <f t="shared" si="1"/>
        <v>110659.45788097088</v>
      </c>
    </row>
    <row r="16" spans="2:10" x14ac:dyDescent="0.25">
      <c r="B16" s="41" t="s">
        <v>92</v>
      </c>
      <c r="C16" s="446" t="s">
        <v>260</v>
      </c>
      <c r="D16" s="446"/>
      <c r="E16" s="446"/>
      <c r="F16" s="52" t="s">
        <v>227</v>
      </c>
      <c r="G16" s="53">
        <v>0.1</v>
      </c>
      <c r="H16" s="237">
        <f t="shared" si="1"/>
        <v>553297.28940485441</v>
      </c>
    </row>
    <row r="17" spans="2:8" x14ac:dyDescent="0.25">
      <c r="B17" s="352" t="s">
        <v>93</v>
      </c>
      <c r="C17" s="451" t="s">
        <v>261</v>
      </c>
      <c r="D17" s="452"/>
      <c r="E17" s="453"/>
      <c r="F17" s="457" t="s">
        <v>144</v>
      </c>
      <c r="G17" s="458"/>
      <c r="H17" s="237">
        <f>'UG line labour'!AM49</f>
        <v>2691294.3810301861</v>
      </c>
    </row>
    <row r="18" spans="2:8" x14ac:dyDescent="0.25">
      <c r="B18" s="353"/>
      <c r="C18" s="454"/>
      <c r="D18" s="455"/>
      <c r="E18" s="456"/>
      <c r="F18" s="457" t="s">
        <v>145</v>
      </c>
      <c r="G18" s="458"/>
      <c r="H18" s="237">
        <f>'UG line labour'!AN49</f>
        <v>3620294.3810301861</v>
      </c>
    </row>
    <row r="19" spans="2:8" x14ac:dyDescent="0.25">
      <c r="B19" s="331" t="s">
        <v>94</v>
      </c>
      <c r="C19" s="355" t="s">
        <v>262</v>
      </c>
      <c r="D19" s="355"/>
      <c r="E19" s="355"/>
      <c r="F19" s="446" t="s">
        <v>144</v>
      </c>
      <c r="G19" s="446"/>
      <c r="H19" s="238">
        <f>SUM(H10:H17)</f>
        <v>9607510.4985908642</v>
      </c>
    </row>
    <row r="20" spans="2:8" x14ac:dyDescent="0.25">
      <c r="B20" s="331"/>
      <c r="C20" s="355"/>
      <c r="D20" s="355"/>
      <c r="E20" s="355"/>
      <c r="F20" s="446" t="s">
        <v>145</v>
      </c>
      <c r="G20" s="446"/>
      <c r="H20" s="238">
        <f>SUM(H10:H16,H18)</f>
        <v>10536510.498590864</v>
      </c>
    </row>
  </sheetData>
  <mergeCells count="16">
    <mergeCell ref="C14:E14"/>
    <mergeCell ref="D2:H2"/>
    <mergeCell ref="C10:G10"/>
    <mergeCell ref="C11:E11"/>
    <mergeCell ref="C12:E12"/>
    <mergeCell ref="C13:E13"/>
    <mergeCell ref="B19:B20"/>
    <mergeCell ref="C19:E20"/>
    <mergeCell ref="F19:G19"/>
    <mergeCell ref="F20:G20"/>
    <mergeCell ref="C15:E15"/>
    <mergeCell ref="C16:E16"/>
    <mergeCell ref="B17:B18"/>
    <mergeCell ref="C17:E18"/>
    <mergeCell ref="F17:G17"/>
    <mergeCell ref="F18:G18"/>
  </mergeCells>
  <pageMargins left="0.7" right="0.7" top="0.75" bottom="0.75" header="0.3" footer="0.3"/>
  <pageSetup scale="88"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0"/>
  <sheetViews>
    <sheetView zoomScaleNormal="100" workbookViewId="0"/>
  </sheetViews>
  <sheetFormatPr defaultRowHeight="15" x14ac:dyDescent="0.25"/>
  <cols>
    <col min="2" max="2" width="5.7109375" style="105" bestFit="1" customWidth="1"/>
    <col min="3" max="3" width="5.28515625" customWidth="1"/>
    <col min="4" max="4" width="51" customWidth="1"/>
    <col min="5" max="5" width="4.7109375" style="105" bestFit="1" customWidth="1"/>
    <col min="6" max="6" width="4.28515625" style="105" bestFit="1" customWidth="1"/>
    <col min="7" max="7" width="11.42578125" bestFit="1" customWidth="1"/>
    <col min="8" max="8" width="12.28515625" bestFit="1" customWidth="1"/>
  </cols>
  <sheetData>
    <row r="1" spans="2:10" x14ac:dyDescent="0.25">
      <c r="B1" s="98"/>
      <c r="C1" s="99"/>
      <c r="D1" s="99"/>
      <c r="E1" s="98"/>
      <c r="F1" s="98"/>
      <c r="G1" s="99"/>
      <c r="H1" s="99"/>
    </row>
    <row r="2" spans="2:10" ht="49.5" customHeight="1" x14ac:dyDescent="0.25">
      <c r="C2" s="158"/>
      <c r="D2" s="447" t="s">
        <v>846</v>
      </c>
      <c r="E2" s="448"/>
      <c r="F2" s="448"/>
      <c r="G2" s="448"/>
      <c r="H2" s="449"/>
    </row>
    <row r="3" spans="2:10" ht="25.5" x14ac:dyDescent="0.25">
      <c r="B3" s="100" t="s">
        <v>572</v>
      </c>
      <c r="C3" s="101" t="s">
        <v>229</v>
      </c>
      <c r="D3" s="101" t="s">
        <v>2</v>
      </c>
      <c r="E3" s="100" t="s">
        <v>154</v>
      </c>
      <c r="F3" s="245" t="s">
        <v>107</v>
      </c>
      <c r="G3" s="245" t="s">
        <v>231</v>
      </c>
      <c r="H3" s="245" t="s">
        <v>232</v>
      </c>
    </row>
    <row r="4" spans="2:10" ht="20.25" customHeight="1" x14ac:dyDescent="0.25">
      <c r="B4" s="34">
        <v>1</v>
      </c>
      <c r="C4" s="34" t="s">
        <v>573</v>
      </c>
      <c r="D4" s="244" t="s">
        <v>505</v>
      </c>
      <c r="E4" s="22" t="s">
        <v>574</v>
      </c>
      <c r="F4" s="22">
        <v>2</v>
      </c>
      <c r="G4" s="237">
        <v>1592843.4988363101</v>
      </c>
      <c r="H4" s="237">
        <f>F4*G4</f>
        <v>3185686.9976726202</v>
      </c>
      <c r="J4" s="46"/>
    </row>
    <row r="5" spans="2:10" ht="25.5" x14ac:dyDescent="0.25">
      <c r="B5" s="34">
        <v>2</v>
      </c>
      <c r="C5" s="72" t="s">
        <v>575</v>
      </c>
      <c r="D5" s="244" t="s">
        <v>576</v>
      </c>
      <c r="E5" s="22" t="s">
        <v>158</v>
      </c>
      <c r="F5" s="22">
        <v>4</v>
      </c>
      <c r="G5" s="237">
        <v>86681</v>
      </c>
      <c r="H5" s="237">
        <f t="shared" ref="H5:H9" si="0">F5*G5</f>
        <v>346724</v>
      </c>
      <c r="J5" s="46"/>
    </row>
    <row r="6" spans="2:10" ht="25.5" x14ac:dyDescent="0.25">
      <c r="B6" s="34">
        <v>3</v>
      </c>
      <c r="C6" s="72" t="s">
        <v>577</v>
      </c>
      <c r="D6" s="244" t="s">
        <v>578</v>
      </c>
      <c r="E6" s="22" t="s">
        <v>158</v>
      </c>
      <c r="F6" s="22">
        <v>1</v>
      </c>
      <c r="G6" s="237">
        <v>28216</v>
      </c>
      <c r="H6" s="237">
        <f t="shared" si="0"/>
        <v>28216</v>
      </c>
      <c r="J6" s="46"/>
    </row>
    <row r="7" spans="2:10" ht="25.5" x14ac:dyDescent="0.25">
      <c r="B7" s="34">
        <v>4</v>
      </c>
      <c r="C7" s="72" t="s">
        <v>579</v>
      </c>
      <c r="D7" s="244" t="s">
        <v>580</v>
      </c>
      <c r="E7" s="22" t="s">
        <v>158</v>
      </c>
      <c r="F7" s="22">
        <v>1</v>
      </c>
      <c r="G7" s="237">
        <v>45347</v>
      </c>
      <c r="H7" s="237">
        <f t="shared" si="0"/>
        <v>45347</v>
      </c>
      <c r="J7" s="46"/>
    </row>
    <row r="8" spans="2:10" ht="20.25" customHeight="1" x14ac:dyDescent="0.25">
      <c r="B8" s="34">
        <v>5</v>
      </c>
      <c r="C8" s="41" t="s">
        <v>581</v>
      </c>
      <c r="D8" s="57" t="s">
        <v>624</v>
      </c>
      <c r="E8" s="22" t="s">
        <v>574</v>
      </c>
      <c r="F8" s="22">
        <v>2</v>
      </c>
      <c r="G8" s="237">
        <v>1203</v>
      </c>
      <c r="H8" s="237">
        <f t="shared" si="0"/>
        <v>2406</v>
      </c>
      <c r="J8" s="46"/>
    </row>
    <row r="9" spans="2:10" ht="20.25" customHeight="1" x14ac:dyDescent="0.25">
      <c r="B9" s="34">
        <v>6</v>
      </c>
      <c r="C9" s="22"/>
      <c r="D9" s="103" t="s">
        <v>583</v>
      </c>
      <c r="E9" s="22" t="s">
        <v>157</v>
      </c>
      <c r="F9" s="22">
        <v>40</v>
      </c>
      <c r="G9" s="255">
        <v>139</v>
      </c>
      <c r="H9" s="237">
        <f t="shared" si="0"/>
        <v>5560</v>
      </c>
      <c r="J9" s="46"/>
    </row>
    <row r="10" spans="2:10" x14ac:dyDescent="0.25">
      <c r="B10" s="245" t="s">
        <v>74</v>
      </c>
      <c r="C10" s="450" t="s">
        <v>254</v>
      </c>
      <c r="D10" s="450"/>
      <c r="E10" s="450"/>
      <c r="F10" s="450"/>
      <c r="G10" s="450"/>
      <c r="H10" s="242">
        <f>SUM(H4:H9)</f>
        <v>3613939.9976726202</v>
      </c>
    </row>
    <row r="11" spans="2:10" x14ac:dyDescent="0.25">
      <c r="B11" s="41" t="s">
        <v>75</v>
      </c>
      <c r="C11" s="446" t="s">
        <v>255</v>
      </c>
      <c r="D11" s="446"/>
      <c r="E11" s="446"/>
      <c r="F11" s="52" t="s">
        <v>227</v>
      </c>
      <c r="G11" s="53">
        <v>0.03</v>
      </c>
      <c r="H11" s="237">
        <f t="shared" ref="H11:H16" si="1">G11*$H$10</f>
        <v>108418.1999301786</v>
      </c>
    </row>
    <row r="12" spans="2:10" x14ac:dyDescent="0.25">
      <c r="B12" s="41" t="s">
        <v>76</v>
      </c>
      <c r="C12" s="446" t="s">
        <v>256</v>
      </c>
      <c r="D12" s="446"/>
      <c r="E12" s="446"/>
      <c r="F12" s="52" t="s">
        <v>227</v>
      </c>
      <c r="G12" s="53">
        <v>0.03</v>
      </c>
      <c r="H12" s="237">
        <f t="shared" si="1"/>
        <v>108418.1999301786</v>
      </c>
    </row>
    <row r="13" spans="2:10" x14ac:dyDescent="0.25">
      <c r="B13" s="41" t="s">
        <v>77</v>
      </c>
      <c r="C13" s="446" t="s">
        <v>257</v>
      </c>
      <c r="D13" s="446"/>
      <c r="E13" s="446"/>
      <c r="F13" s="52" t="s">
        <v>227</v>
      </c>
      <c r="G13" s="53">
        <v>0.03</v>
      </c>
      <c r="H13" s="237">
        <f t="shared" si="1"/>
        <v>108418.1999301786</v>
      </c>
    </row>
    <row r="14" spans="2:10" x14ac:dyDescent="0.25">
      <c r="B14" s="41" t="s">
        <v>78</v>
      </c>
      <c r="C14" s="446" t="s">
        <v>258</v>
      </c>
      <c r="D14" s="446"/>
      <c r="E14" s="446"/>
      <c r="F14" s="52" t="s">
        <v>227</v>
      </c>
      <c r="G14" s="53">
        <v>0.04</v>
      </c>
      <c r="H14" s="237">
        <f t="shared" si="1"/>
        <v>144557.59990690483</v>
      </c>
    </row>
    <row r="15" spans="2:10" x14ac:dyDescent="0.25">
      <c r="B15" s="41" t="s">
        <v>213</v>
      </c>
      <c r="C15" s="446" t="s">
        <v>259</v>
      </c>
      <c r="D15" s="446"/>
      <c r="E15" s="446"/>
      <c r="F15" s="52" t="s">
        <v>227</v>
      </c>
      <c r="G15" s="53">
        <v>0.02</v>
      </c>
      <c r="H15" s="237">
        <f t="shared" si="1"/>
        <v>72278.799953452413</v>
      </c>
    </row>
    <row r="16" spans="2:10" x14ac:dyDescent="0.25">
      <c r="B16" s="41" t="s">
        <v>92</v>
      </c>
      <c r="C16" s="446" t="s">
        <v>260</v>
      </c>
      <c r="D16" s="446"/>
      <c r="E16" s="446"/>
      <c r="F16" s="52" t="s">
        <v>227</v>
      </c>
      <c r="G16" s="53">
        <v>0.1</v>
      </c>
      <c r="H16" s="237">
        <f t="shared" si="1"/>
        <v>361393.99976726202</v>
      </c>
    </row>
    <row r="17" spans="2:8" x14ac:dyDescent="0.25">
      <c r="B17" s="352" t="s">
        <v>93</v>
      </c>
      <c r="C17" s="451" t="s">
        <v>261</v>
      </c>
      <c r="D17" s="452"/>
      <c r="E17" s="453"/>
      <c r="F17" s="457" t="s">
        <v>144</v>
      </c>
      <c r="G17" s="458"/>
      <c r="H17" s="237">
        <f>'UG line labour'!AP49</f>
        <v>2691294.3810301861</v>
      </c>
    </row>
    <row r="18" spans="2:8" x14ac:dyDescent="0.25">
      <c r="B18" s="353"/>
      <c r="C18" s="454"/>
      <c r="D18" s="455"/>
      <c r="E18" s="456"/>
      <c r="F18" s="457" t="s">
        <v>145</v>
      </c>
      <c r="G18" s="458"/>
      <c r="H18" s="237">
        <f>'UG line labour'!AQ49</f>
        <v>3620294.3810301861</v>
      </c>
    </row>
    <row r="19" spans="2:8" x14ac:dyDescent="0.25">
      <c r="B19" s="331" t="s">
        <v>94</v>
      </c>
      <c r="C19" s="355" t="s">
        <v>262</v>
      </c>
      <c r="D19" s="355"/>
      <c r="E19" s="355"/>
      <c r="F19" s="446" t="s">
        <v>144</v>
      </c>
      <c r="G19" s="446"/>
      <c r="H19" s="238">
        <f>SUM(H10:H17)</f>
        <v>7208719.3781209607</v>
      </c>
    </row>
    <row r="20" spans="2:8" x14ac:dyDescent="0.25">
      <c r="B20" s="331"/>
      <c r="C20" s="355"/>
      <c r="D20" s="355"/>
      <c r="E20" s="355"/>
      <c r="F20" s="446" t="s">
        <v>145</v>
      </c>
      <c r="G20" s="446"/>
      <c r="H20" s="238">
        <f>SUM(H10:H16,H18)</f>
        <v>8137719.3781209607</v>
      </c>
    </row>
  </sheetData>
  <mergeCells count="16">
    <mergeCell ref="C14:E14"/>
    <mergeCell ref="D2:H2"/>
    <mergeCell ref="C10:G10"/>
    <mergeCell ref="C11:E11"/>
    <mergeCell ref="C12:E12"/>
    <mergeCell ref="C13:E13"/>
    <mergeCell ref="B19:B20"/>
    <mergeCell ref="C19:E20"/>
    <mergeCell ref="F19:G19"/>
    <mergeCell ref="F20:G20"/>
    <mergeCell ref="C15:E15"/>
    <mergeCell ref="C16:E16"/>
    <mergeCell ref="B17:B18"/>
    <mergeCell ref="C17:E18"/>
    <mergeCell ref="F17:G17"/>
    <mergeCell ref="F18:G18"/>
  </mergeCells>
  <pageMargins left="0.7" right="0.7" top="0.75" bottom="0.75" header="0.3" footer="0.3"/>
  <pageSetup scale="88"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0"/>
  <sheetViews>
    <sheetView zoomScaleNormal="100" workbookViewId="0"/>
  </sheetViews>
  <sheetFormatPr defaultRowHeight="15" x14ac:dyDescent="0.25"/>
  <cols>
    <col min="2" max="2" width="5.7109375" style="105" bestFit="1" customWidth="1"/>
    <col min="3" max="3" width="5.42578125" bestFit="1" customWidth="1"/>
    <col min="4" max="4" width="51" customWidth="1"/>
    <col min="5" max="5" width="4.7109375" style="105" bestFit="1" customWidth="1"/>
    <col min="6" max="6" width="4.28515625" style="105" bestFit="1" customWidth="1"/>
    <col min="7" max="7" width="11.42578125" bestFit="1" customWidth="1"/>
    <col min="8" max="8" width="12.42578125" bestFit="1" customWidth="1"/>
  </cols>
  <sheetData>
    <row r="1" spans="2:10" x14ac:dyDescent="0.25">
      <c r="B1" s="98"/>
      <c r="C1" s="99"/>
      <c r="D1" s="99"/>
      <c r="E1" s="98"/>
      <c r="F1" s="98"/>
      <c r="G1" s="99"/>
      <c r="H1" s="99"/>
    </row>
    <row r="2" spans="2:10" ht="49.5" customHeight="1" x14ac:dyDescent="0.25">
      <c r="C2" s="158"/>
      <c r="D2" s="447" t="s">
        <v>847</v>
      </c>
      <c r="E2" s="448"/>
      <c r="F2" s="448"/>
      <c r="G2" s="448"/>
      <c r="H2" s="449"/>
    </row>
    <row r="3" spans="2:10" ht="25.5" x14ac:dyDescent="0.25">
      <c r="B3" s="100" t="s">
        <v>572</v>
      </c>
      <c r="C3" s="101" t="s">
        <v>229</v>
      </c>
      <c r="D3" s="101" t="s">
        <v>2</v>
      </c>
      <c r="E3" s="100" t="s">
        <v>154</v>
      </c>
      <c r="F3" s="245" t="s">
        <v>107</v>
      </c>
      <c r="G3" s="245" t="s">
        <v>231</v>
      </c>
      <c r="H3" s="245" t="s">
        <v>232</v>
      </c>
    </row>
    <row r="4" spans="2:10" x14ac:dyDescent="0.25">
      <c r="B4" s="34">
        <v>1</v>
      </c>
      <c r="C4" s="34" t="s">
        <v>584</v>
      </c>
      <c r="D4" s="244" t="s">
        <v>506</v>
      </c>
      <c r="E4" s="22" t="s">
        <v>574</v>
      </c>
      <c r="F4" s="22">
        <v>2</v>
      </c>
      <c r="G4" s="237">
        <v>1249884.4874210353</v>
      </c>
      <c r="H4" s="237">
        <f t="shared" ref="H4:H9" si="0">F4*G4</f>
        <v>2499768.9748420706</v>
      </c>
      <c r="J4" s="46"/>
    </row>
    <row r="5" spans="2:10" ht="25.5" x14ac:dyDescent="0.25">
      <c r="B5" s="34">
        <v>2</v>
      </c>
      <c r="C5" s="72" t="s">
        <v>585</v>
      </c>
      <c r="D5" s="244" t="s">
        <v>586</v>
      </c>
      <c r="E5" s="22" t="s">
        <v>158</v>
      </c>
      <c r="F5" s="22">
        <v>4</v>
      </c>
      <c r="G5" s="237">
        <v>86681</v>
      </c>
      <c r="H5" s="237">
        <f t="shared" si="0"/>
        <v>346724</v>
      </c>
      <c r="J5" s="46"/>
    </row>
    <row r="6" spans="2:10" ht="25.5" x14ac:dyDescent="0.25">
      <c r="B6" s="34">
        <v>3</v>
      </c>
      <c r="C6" s="41" t="s">
        <v>587</v>
      </c>
      <c r="D6" s="244" t="s">
        <v>588</v>
      </c>
      <c r="E6" s="22" t="s">
        <v>158</v>
      </c>
      <c r="F6" s="22">
        <v>1</v>
      </c>
      <c r="G6" s="237">
        <v>24884</v>
      </c>
      <c r="H6" s="237">
        <f t="shared" si="0"/>
        <v>24884</v>
      </c>
      <c r="J6" s="46"/>
    </row>
    <row r="7" spans="2:10" ht="25.5" x14ac:dyDescent="0.25">
      <c r="B7" s="34">
        <v>4</v>
      </c>
      <c r="C7" s="41" t="s">
        <v>589</v>
      </c>
      <c r="D7" s="244" t="s">
        <v>590</v>
      </c>
      <c r="E7" s="22" t="s">
        <v>158</v>
      </c>
      <c r="F7" s="22">
        <v>1</v>
      </c>
      <c r="G7" s="237">
        <v>34261</v>
      </c>
      <c r="H7" s="237">
        <f t="shared" si="0"/>
        <v>34261</v>
      </c>
      <c r="J7" s="46"/>
    </row>
    <row r="8" spans="2:10" x14ac:dyDescent="0.25">
      <c r="B8" s="34">
        <v>5</v>
      </c>
      <c r="C8" s="84" t="s">
        <v>591</v>
      </c>
      <c r="D8" s="57" t="s">
        <v>592</v>
      </c>
      <c r="E8" s="22" t="s">
        <v>574</v>
      </c>
      <c r="F8" s="22">
        <v>2</v>
      </c>
      <c r="G8" s="237">
        <v>944.6</v>
      </c>
      <c r="H8" s="237">
        <f t="shared" si="0"/>
        <v>1889.2</v>
      </c>
      <c r="J8" s="46"/>
    </row>
    <row r="9" spans="2:10" x14ac:dyDescent="0.25">
      <c r="B9" s="34">
        <v>6</v>
      </c>
      <c r="C9" s="22"/>
      <c r="D9" s="103" t="s">
        <v>583</v>
      </c>
      <c r="E9" s="22" t="s">
        <v>157</v>
      </c>
      <c r="F9" s="22">
        <v>40</v>
      </c>
      <c r="G9" s="255">
        <v>139</v>
      </c>
      <c r="H9" s="237">
        <f t="shared" si="0"/>
        <v>5560</v>
      </c>
      <c r="J9" s="46"/>
    </row>
    <row r="10" spans="2:10" x14ac:dyDescent="0.25">
      <c r="B10" s="245" t="s">
        <v>74</v>
      </c>
      <c r="C10" s="450" t="s">
        <v>254</v>
      </c>
      <c r="D10" s="450"/>
      <c r="E10" s="450"/>
      <c r="F10" s="450"/>
      <c r="G10" s="450"/>
      <c r="H10" s="242">
        <f>SUM(H4:H9)</f>
        <v>2913087.1748420708</v>
      </c>
    </row>
    <row r="11" spans="2:10" x14ac:dyDescent="0.25">
      <c r="B11" s="41" t="s">
        <v>75</v>
      </c>
      <c r="C11" s="446" t="s">
        <v>255</v>
      </c>
      <c r="D11" s="446"/>
      <c r="E11" s="446"/>
      <c r="F11" s="52" t="s">
        <v>227</v>
      </c>
      <c r="G11" s="53">
        <v>0.03</v>
      </c>
      <c r="H11" s="237">
        <f t="shared" ref="H11:H16" si="1">G11*$H$10</f>
        <v>87392.615245262117</v>
      </c>
    </row>
    <row r="12" spans="2:10" x14ac:dyDescent="0.25">
      <c r="B12" s="41" t="s">
        <v>76</v>
      </c>
      <c r="C12" s="446" t="s">
        <v>256</v>
      </c>
      <c r="D12" s="446"/>
      <c r="E12" s="446"/>
      <c r="F12" s="52" t="s">
        <v>227</v>
      </c>
      <c r="G12" s="53">
        <v>0.03</v>
      </c>
      <c r="H12" s="237">
        <f t="shared" si="1"/>
        <v>87392.615245262117</v>
      </c>
    </row>
    <row r="13" spans="2:10" x14ac:dyDescent="0.25">
      <c r="B13" s="41" t="s">
        <v>77</v>
      </c>
      <c r="C13" s="446" t="s">
        <v>257</v>
      </c>
      <c r="D13" s="446"/>
      <c r="E13" s="446"/>
      <c r="F13" s="52" t="s">
        <v>227</v>
      </c>
      <c r="G13" s="53">
        <v>0.03</v>
      </c>
      <c r="H13" s="237">
        <f t="shared" si="1"/>
        <v>87392.615245262117</v>
      </c>
    </row>
    <row r="14" spans="2:10" x14ac:dyDescent="0.25">
      <c r="B14" s="41" t="s">
        <v>78</v>
      </c>
      <c r="C14" s="446" t="s">
        <v>258</v>
      </c>
      <c r="D14" s="446"/>
      <c r="E14" s="446"/>
      <c r="F14" s="52" t="s">
        <v>227</v>
      </c>
      <c r="G14" s="53">
        <v>0.04</v>
      </c>
      <c r="H14" s="237">
        <f t="shared" si="1"/>
        <v>116523.48699368283</v>
      </c>
    </row>
    <row r="15" spans="2:10" x14ac:dyDescent="0.25">
      <c r="B15" s="41" t="s">
        <v>213</v>
      </c>
      <c r="C15" s="446" t="s">
        <v>259</v>
      </c>
      <c r="D15" s="446"/>
      <c r="E15" s="446"/>
      <c r="F15" s="52" t="s">
        <v>227</v>
      </c>
      <c r="G15" s="53">
        <v>0.02</v>
      </c>
      <c r="H15" s="237">
        <f t="shared" si="1"/>
        <v>58261.743496841416</v>
      </c>
    </row>
    <row r="16" spans="2:10" x14ac:dyDescent="0.25">
      <c r="B16" s="41" t="s">
        <v>92</v>
      </c>
      <c r="C16" s="446" t="s">
        <v>260</v>
      </c>
      <c r="D16" s="446"/>
      <c r="E16" s="446"/>
      <c r="F16" s="52" t="s">
        <v>227</v>
      </c>
      <c r="G16" s="53">
        <v>0.1</v>
      </c>
      <c r="H16" s="237">
        <f t="shared" si="1"/>
        <v>291308.71748420707</v>
      </c>
    </row>
    <row r="17" spans="2:8" x14ac:dyDescent="0.25">
      <c r="B17" s="352" t="s">
        <v>93</v>
      </c>
      <c r="C17" s="451" t="s">
        <v>261</v>
      </c>
      <c r="D17" s="452"/>
      <c r="E17" s="453"/>
      <c r="F17" s="457" t="s">
        <v>144</v>
      </c>
      <c r="G17" s="458"/>
      <c r="H17" s="237">
        <f>'UG line labour'!AS49</f>
        <v>2192791.8966031247</v>
      </c>
    </row>
    <row r="18" spans="2:8" x14ac:dyDescent="0.25">
      <c r="B18" s="353"/>
      <c r="C18" s="454"/>
      <c r="D18" s="455"/>
      <c r="E18" s="456"/>
      <c r="F18" s="457" t="s">
        <v>145</v>
      </c>
      <c r="G18" s="458"/>
      <c r="H18" s="237">
        <f>'UG line labour'!AT49</f>
        <v>2951791.8966031247</v>
      </c>
    </row>
    <row r="19" spans="2:8" x14ac:dyDescent="0.25">
      <c r="B19" s="331" t="s">
        <v>94</v>
      </c>
      <c r="C19" s="355" t="s">
        <v>262</v>
      </c>
      <c r="D19" s="355"/>
      <c r="E19" s="355"/>
      <c r="F19" s="446" t="s">
        <v>144</v>
      </c>
      <c r="G19" s="446"/>
      <c r="H19" s="238">
        <f>SUM(H10:H17)</f>
        <v>5834150.8651557136</v>
      </c>
    </row>
    <row r="20" spans="2:8" x14ac:dyDescent="0.25">
      <c r="B20" s="331"/>
      <c r="C20" s="355"/>
      <c r="D20" s="355"/>
      <c r="E20" s="355"/>
      <c r="F20" s="446" t="s">
        <v>145</v>
      </c>
      <c r="G20" s="446"/>
      <c r="H20" s="238">
        <f>SUM(H10:H16,H18)</f>
        <v>6593150.8651557136</v>
      </c>
    </row>
  </sheetData>
  <mergeCells count="16">
    <mergeCell ref="C14:E14"/>
    <mergeCell ref="D2:H2"/>
    <mergeCell ref="C10:G10"/>
    <mergeCell ref="C11:E11"/>
    <mergeCell ref="C12:E12"/>
    <mergeCell ref="C13:E13"/>
    <mergeCell ref="B19:B20"/>
    <mergeCell ref="C19:E20"/>
    <mergeCell ref="F19:G19"/>
    <mergeCell ref="F20:G20"/>
    <mergeCell ref="C15:E15"/>
    <mergeCell ref="C16:E16"/>
    <mergeCell ref="B17:B18"/>
    <mergeCell ref="C17:E18"/>
    <mergeCell ref="F17:G17"/>
    <mergeCell ref="F18:G18"/>
  </mergeCells>
  <pageMargins left="0.7" right="0.7" top="0.75" bottom="0.75" header="0.3" footer="0.3"/>
  <pageSetup scale="97"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1"/>
  <sheetViews>
    <sheetView zoomScaleNormal="100" workbookViewId="0"/>
  </sheetViews>
  <sheetFormatPr defaultRowHeight="15" x14ac:dyDescent="0.25"/>
  <cols>
    <col min="2" max="2" width="5.7109375" style="105" bestFit="1" customWidth="1"/>
    <col min="3" max="3" width="5.42578125" customWidth="1"/>
    <col min="4" max="4" width="51" customWidth="1"/>
    <col min="5" max="5" width="4.7109375" style="105" bestFit="1" customWidth="1"/>
    <col min="6" max="6" width="4.28515625" style="105" bestFit="1" customWidth="1"/>
    <col min="7" max="7" width="10.42578125" bestFit="1" customWidth="1"/>
    <col min="8" max="8" width="12.28515625" bestFit="1" customWidth="1"/>
  </cols>
  <sheetData>
    <row r="1" spans="2:10" x14ac:dyDescent="0.25">
      <c r="B1" s="98"/>
      <c r="C1" s="99"/>
      <c r="D1" s="99"/>
      <c r="E1" s="98"/>
      <c r="F1" s="98"/>
      <c r="G1" s="99"/>
      <c r="H1" s="99"/>
    </row>
    <row r="2" spans="2:10" ht="49.5" customHeight="1" x14ac:dyDescent="0.25">
      <c r="C2" s="95"/>
      <c r="D2" s="447" t="s">
        <v>857</v>
      </c>
      <c r="E2" s="448"/>
      <c r="F2" s="448"/>
      <c r="G2" s="448"/>
      <c r="H2" s="449"/>
    </row>
    <row r="3" spans="2:10" ht="25.5" x14ac:dyDescent="0.25">
      <c r="B3" s="100" t="s">
        <v>572</v>
      </c>
      <c r="C3" s="101" t="s">
        <v>229</v>
      </c>
      <c r="D3" s="101" t="s">
        <v>2</v>
      </c>
      <c r="E3" s="100" t="s">
        <v>154</v>
      </c>
      <c r="F3" s="245" t="s">
        <v>107</v>
      </c>
      <c r="G3" s="245" t="s">
        <v>231</v>
      </c>
      <c r="H3" s="245" t="s">
        <v>232</v>
      </c>
    </row>
    <row r="4" spans="2:10" x14ac:dyDescent="0.25">
      <c r="B4" s="34">
        <v>1</v>
      </c>
      <c r="C4" s="34" t="s">
        <v>544</v>
      </c>
      <c r="D4" s="244" t="s">
        <v>860</v>
      </c>
      <c r="E4" s="22" t="s">
        <v>574</v>
      </c>
      <c r="F4" s="22">
        <v>2</v>
      </c>
      <c r="G4" s="237">
        <v>1465992.3523938716</v>
      </c>
      <c r="H4" s="237">
        <f t="shared" ref="H4:H9" si="0">F4*G4</f>
        <v>2931984.7047877433</v>
      </c>
      <c r="J4" s="46"/>
    </row>
    <row r="5" spans="2:10" ht="25.5" x14ac:dyDescent="0.25">
      <c r="B5" s="34">
        <v>2</v>
      </c>
      <c r="C5" s="253">
        <v>148.1</v>
      </c>
      <c r="D5" s="250" t="s">
        <v>886</v>
      </c>
      <c r="E5" s="22" t="s">
        <v>158</v>
      </c>
      <c r="F5" s="22">
        <v>4</v>
      </c>
      <c r="G5" s="50">
        <v>13734</v>
      </c>
      <c r="H5" s="50">
        <f t="shared" si="0"/>
        <v>54936</v>
      </c>
      <c r="J5" s="46"/>
    </row>
    <row r="6" spans="2:10" ht="25.5" x14ac:dyDescent="0.25">
      <c r="B6" s="34">
        <v>3</v>
      </c>
      <c r="C6" s="253">
        <v>147.1</v>
      </c>
      <c r="D6" s="250" t="s">
        <v>861</v>
      </c>
      <c r="E6" s="22" t="s">
        <v>158</v>
      </c>
      <c r="F6" s="22">
        <v>1</v>
      </c>
      <c r="G6" s="50">
        <v>13472</v>
      </c>
      <c r="H6" s="50">
        <f t="shared" si="0"/>
        <v>13472</v>
      </c>
      <c r="J6" s="46"/>
    </row>
    <row r="7" spans="2:10" ht="25.5" x14ac:dyDescent="0.25">
      <c r="B7" s="34">
        <v>4</v>
      </c>
      <c r="C7" s="72" t="s">
        <v>887</v>
      </c>
      <c r="D7" s="250" t="s">
        <v>888</v>
      </c>
      <c r="E7" s="22" t="s">
        <v>158</v>
      </c>
      <c r="F7" s="22">
        <v>1</v>
      </c>
      <c r="G7" s="50">
        <v>20602</v>
      </c>
      <c r="H7" s="50">
        <f t="shared" si="0"/>
        <v>20602</v>
      </c>
      <c r="J7" s="46"/>
    </row>
    <row r="8" spans="2:10" x14ac:dyDescent="0.25">
      <c r="B8" s="34">
        <v>5</v>
      </c>
      <c r="C8" s="41" t="s">
        <v>581</v>
      </c>
      <c r="D8" s="57" t="s">
        <v>582</v>
      </c>
      <c r="E8" s="22" t="s">
        <v>574</v>
      </c>
      <c r="F8" s="22">
        <v>2</v>
      </c>
      <c r="G8" s="50">
        <v>1203</v>
      </c>
      <c r="H8" s="50">
        <f t="shared" si="0"/>
        <v>2406</v>
      </c>
      <c r="J8" s="46"/>
    </row>
    <row r="9" spans="2:10" x14ac:dyDescent="0.25">
      <c r="B9" s="34">
        <v>6</v>
      </c>
      <c r="C9" s="22"/>
      <c r="D9" s="103" t="s">
        <v>583</v>
      </c>
      <c r="E9" s="22" t="s">
        <v>157</v>
      </c>
      <c r="F9" s="22">
        <v>40</v>
      </c>
      <c r="G9" s="102">
        <v>139</v>
      </c>
      <c r="H9" s="50">
        <f t="shared" si="0"/>
        <v>5560</v>
      </c>
      <c r="J9" s="46"/>
    </row>
    <row r="10" spans="2:10" x14ac:dyDescent="0.25">
      <c r="B10" s="245" t="s">
        <v>74</v>
      </c>
      <c r="C10" s="450" t="s">
        <v>254</v>
      </c>
      <c r="D10" s="450"/>
      <c r="E10" s="450"/>
      <c r="F10" s="450"/>
      <c r="G10" s="450"/>
      <c r="H10" s="242">
        <f>SUM(H4:H9)</f>
        <v>3028960.7047877433</v>
      </c>
    </row>
    <row r="11" spans="2:10" x14ac:dyDescent="0.25">
      <c r="B11" s="41" t="s">
        <v>75</v>
      </c>
      <c r="C11" s="446" t="s">
        <v>255</v>
      </c>
      <c r="D11" s="446"/>
      <c r="E11" s="446"/>
      <c r="F11" s="52" t="s">
        <v>227</v>
      </c>
      <c r="G11" s="53">
        <v>0.03</v>
      </c>
      <c r="H11" s="237">
        <f t="shared" ref="H11:H16" si="1">G11*$H$10</f>
        <v>90868.821143632289</v>
      </c>
    </row>
    <row r="12" spans="2:10" x14ac:dyDescent="0.25">
      <c r="B12" s="41" t="s">
        <v>76</v>
      </c>
      <c r="C12" s="446" t="s">
        <v>256</v>
      </c>
      <c r="D12" s="446"/>
      <c r="E12" s="446"/>
      <c r="F12" s="52" t="s">
        <v>227</v>
      </c>
      <c r="G12" s="53">
        <v>0.03</v>
      </c>
      <c r="H12" s="237">
        <f t="shared" si="1"/>
        <v>90868.821143632289</v>
      </c>
    </row>
    <row r="13" spans="2:10" x14ac:dyDescent="0.25">
      <c r="B13" s="41" t="s">
        <v>77</v>
      </c>
      <c r="C13" s="446" t="s">
        <v>257</v>
      </c>
      <c r="D13" s="446"/>
      <c r="E13" s="446"/>
      <c r="F13" s="52" t="s">
        <v>227</v>
      </c>
      <c r="G13" s="53">
        <v>0.03</v>
      </c>
      <c r="H13" s="237">
        <f t="shared" si="1"/>
        <v>90868.821143632289</v>
      </c>
    </row>
    <row r="14" spans="2:10" x14ac:dyDescent="0.25">
      <c r="B14" s="41" t="s">
        <v>78</v>
      </c>
      <c r="C14" s="446" t="s">
        <v>258</v>
      </c>
      <c r="D14" s="446"/>
      <c r="E14" s="446"/>
      <c r="F14" s="52" t="s">
        <v>227</v>
      </c>
      <c r="G14" s="53">
        <v>0.04</v>
      </c>
      <c r="H14" s="237">
        <f t="shared" si="1"/>
        <v>121158.42819150974</v>
      </c>
    </row>
    <row r="15" spans="2:10" x14ac:dyDescent="0.25">
      <c r="B15" s="41" t="s">
        <v>213</v>
      </c>
      <c r="C15" s="446" t="s">
        <v>259</v>
      </c>
      <c r="D15" s="446"/>
      <c r="E15" s="446"/>
      <c r="F15" s="52" t="s">
        <v>227</v>
      </c>
      <c r="G15" s="53">
        <v>0.02</v>
      </c>
      <c r="H15" s="237">
        <f t="shared" si="1"/>
        <v>60579.214095754869</v>
      </c>
    </row>
    <row r="16" spans="2:10" x14ac:dyDescent="0.25">
      <c r="B16" s="41" t="s">
        <v>92</v>
      </c>
      <c r="C16" s="446" t="s">
        <v>260</v>
      </c>
      <c r="D16" s="446"/>
      <c r="E16" s="446"/>
      <c r="F16" s="52" t="s">
        <v>227</v>
      </c>
      <c r="G16" s="53">
        <v>0.1</v>
      </c>
      <c r="H16" s="237">
        <f t="shared" si="1"/>
        <v>302896.07047877432</v>
      </c>
    </row>
    <row r="17" spans="2:8" x14ac:dyDescent="0.25">
      <c r="B17" s="352" t="s">
        <v>93</v>
      </c>
      <c r="C17" s="451" t="s">
        <v>261</v>
      </c>
      <c r="D17" s="452"/>
      <c r="E17" s="453"/>
      <c r="F17" s="457" t="s">
        <v>144</v>
      </c>
      <c r="G17" s="458"/>
      <c r="H17" s="237">
        <f>'UG line labour'!AV49</f>
        <v>2685403.8974934663</v>
      </c>
    </row>
    <row r="18" spans="2:8" x14ac:dyDescent="0.25">
      <c r="B18" s="353"/>
      <c r="C18" s="454"/>
      <c r="D18" s="455"/>
      <c r="E18" s="456"/>
      <c r="F18" s="457" t="s">
        <v>145</v>
      </c>
      <c r="G18" s="458"/>
      <c r="H18" s="237">
        <f>'UG line labour'!AW49</f>
        <v>3614403.8974934663</v>
      </c>
    </row>
    <row r="19" spans="2:8" x14ac:dyDescent="0.25">
      <c r="B19" s="331" t="s">
        <v>94</v>
      </c>
      <c r="C19" s="355" t="s">
        <v>262</v>
      </c>
      <c r="D19" s="355"/>
      <c r="E19" s="355"/>
      <c r="F19" s="446" t="s">
        <v>144</v>
      </c>
      <c r="G19" s="446"/>
      <c r="H19" s="238">
        <f>SUM(H10:H17)</f>
        <v>6471604.7784781456</v>
      </c>
    </row>
    <row r="20" spans="2:8" x14ac:dyDescent="0.25">
      <c r="B20" s="331"/>
      <c r="C20" s="355"/>
      <c r="D20" s="355"/>
      <c r="E20" s="355"/>
      <c r="F20" s="446" t="s">
        <v>145</v>
      </c>
      <c r="G20" s="446"/>
      <c r="H20" s="238">
        <f>SUM(H10:H16,H18)</f>
        <v>7400604.7784781456</v>
      </c>
    </row>
    <row r="21" spans="2:8" x14ac:dyDescent="0.25">
      <c r="H21" s="243"/>
    </row>
  </sheetData>
  <mergeCells count="16">
    <mergeCell ref="C14:E14"/>
    <mergeCell ref="D2:H2"/>
    <mergeCell ref="C10:G10"/>
    <mergeCell ref="C11:E11"/>
    <mergeCell ref="C12:E12"/>
    <mergeCell ref="C13:E13"/>
    <mergeCell ref="B19:B20"/>
    <mergeCell ref="C19:E20"/>
    <mergeCell ref="F19:G19"/>
    <mergeCell ref="F20:G20"/>
    <mergeCell ref="C15:E15"/>
    <mergeCell ref="C16:E16"/>
    <mergeCell ref="B17:B18"/>
    <mergeCell ref="C17:E18"/>
    <mergeCell ref="F17:G17"/>
    <mergeCell ref="F18:G18"/>
  </mergeCells>
  <pageMargins left="0.7" right="0.7" top="0.75" bottom="0.75" header="0.3" footer="0.3"/>
  <pageSetup scale="97"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1"/>
  <sheetViews>
    <sheetView zoomScaleNormal="100" workbookViewId="0"/>
  </sheetViews>
  <sheetFormatPr defaultRowHeight="15" x14ac:dyDescent="0.25"/>
  <cols>
    <col min="2" max="2" width="5.7109375" style="105" bestFit="1" customWidth="1"/>
    <col min="3" max="3" width="5.42578125" customWidth="1"/>
    <col min="4" max="4" width="51" customWidth="1"/>
    <col min="5" max="5" width="4.7109375" style="105" bestFit="1" customWidth="1"/>
    <col min="6" max="6" width="4.28515625" style="105" bestFit="1" customWidth="1"/>
    <col min="7" max="7" width="10.42578125" bestFit="1" customWidth="1"/>
    <col min="8" max="8" width="12.28515625" bestFit="1" customWidth="1"/>
  </cols>
  <sheetData>
    <row r="1" spans="2:10" x14ac:dyDescent="0.25">
      <c r="B1" s="98"/>
      <c r="C1" s="99"/>
      <c r="D1" s="99"/>
      <c r="E1" s="98"/>
      <c r="F1" s="98"/>
      <c r="G1" s="99"/>
      <c r="H1" s="99"/>
    </row>
    <row r="2" spans="2:10" ht="49.5" customHeight="1" x14ac:dyDescent="0.25">
      <c r="C2" s="95"/>
      <c r="D2" s="447" t="s">
        <v>848</v>
      </c>
      <c r="E2" s="448"/>
      <c r="F2" s="448"/>
      <c r="G2" s="448"/>
      <c r="H2" s="449"/>
    </row>
    <row r="3" spans="2:10" ht="25.5" x14ac:dyDescent="0.25">
      <c r="B3" s="100" t="s">
        <v>572</v>
      </c>
      <c r="C3" s="101" t="s">
        <v>229</v>
      </c>
      <c r="D3" s="101" t="s">
        <v>2</v>
      </c>
      <c r="E3" s="100" t="s">
        <v>154</v>
      </c>
      <c r="F3" s="245" t="s">
        <v>107</v>
      </c>
      <c r="G3" s="245" t="s">
        <v>231</v>
      </c>
      <c r="H3" s="245" t="s">
        <v>232</v>
      </c>
    </row>
    <row r="4" spans="2:10" x14ac:dyDescent="0.25">
      <c r="B4" s="34">
        <v>1</v>
      </c>
      <c r="C4" s="34" t="s">
        <v>544</v>
      </c>
      <c r="D4" s="244" t="s">
        <v>545</v>
      </c>
      <c r="E4" s="22" t="s">
        <v>574</v>
      </c>
      <c r="F4" s="22">
        <v>2</v>
      </c>
      <c r="G4" s="237">
        <v>1072644.5518947488</v>
      </c>
      <c r="H4" s="237">
        <f t="shared" ref="H4:H9" si="0">F4*G4</f>
        <v>2145289.1037894976</v>
      </c>
      <c r="J4" s="46"/>
    </row>
    <row r="5" spans="2:10" ht="25.5" x14ac:dyDescent="0.25">
      <c r="B5" s="34">
        <v>2</v>
      </c>
      <c r="C5" s="72" t="s">
        <v>593</v>
      </c>
      <c r="D5" s="244" t="s">
        <v>594</v>
      </c>
      <c r="E5" s="22" t="s">
        <v>158</v>
      </c>
      <c r="F5" s="22">
        <v>4</v>
      </c>
      <c r="G5" s="50">
        <v>10773</v>
      </c>
      <c r="H5" s="50">
        <f t="shared" si="0"/>
        <v>43092</v>
      </c>
      <c r="J5" s="46"/>
    </row>
    <row r="6" spans="2:10" ht="25.5" x14ac:dyDescent="0.25">
      <c r="B6" s="34">
        <v>3</v>
      </c>
      <c r="C6" s="72" t="s">
        <v>548</v>
      </c>
      <c r="D6" s="244" t="s">
        <v>549</v>
      </c>
      <c r="E6" s="22" t="s">
        <v>158</v>
      </c>
      <c r="F6" s="22">
        <v>1</v>
      </c>
      <c r="G6" s="50">
        <v>11460</v>
      </c>
      <c r="H6" s="50">
        <f t="shared" si="0"/>
        <v>11460</v>
      </c>
      <c r="J6" s="46"/>
    </row>
    <row r="7" spans="2:10" ht="25.5" x14ac:dyDescent="0.25">
      <c r="B7" s="34">
        <v>4</v>
      </c>
      <c r="C7" s="72" t="s">
        <v>550</v>
      </c>
      <c r="D7" s="244" t="s">
        <v>551</v>
      </c>
      <c r="E7" s="22" t="s">
        <v>158</v>
      </c>
      <c r="F7" s="22">
        <v>1</v>
      </c>
      <c r="G7" s="50">
        <v>20602</v>
      </c>
      <c r="H7" s="50">
        <f t="shared" si="0"/>
        <v>20602</v>
      </c>
      <c r="J7" s="46"/>
    </row>
    <row r="8" spans="2:10" x14ac:dyDescent="0.25">
      <c r="B8" s="34">
        <v>5</v>
      </c>
      <c r="C8" s="41" t="s">
        <v>581</v>
      </c>
      <c r="D8" s="57" t="s">
        <v>582</v>
      </c>
      <c r="E8" s="22" t="s">
        <v>574</v>
      </c>
      <c r="F8" s="22">
        <v>2</v>
      </c>
      <c r="G8" s="50">
        <v>1203</v>
      </c>
      <c r="H8" s="50">
        <f t="shared" si="0"/>
        <v>2406</v>
      </c>
      <c r="J8" s="46"/>
    </row>
    <row r="9" spans="2:10" x14ac:dyDescent="0.25">
      <c r="B9" s="34">
        <v>6</v>
      </c>
      <c r="C9" s="22"/>
      <c r="D9" s="103" t="s">
        <v>583</v>
      </c>
      <c r="E9" s="22" t="s">
        <v>157</v>
      </c>
      <c r="F9" s="22">
        <v>40</v>
      </c>
      <c r="G9" s="102">
        <v>139</v>
      </c>
      <c r="H9" s="50">
        <f t="shared" si="0"/>
        <v>5560</v>
      </c>
      <c r="J9" s="46"/>
    </row>
    <row r="10" spans="2:10" x14ac:dyDescent="0.25">
      <c r="B10" s="245" t="s">
        <v>74</v>
      </c>
      <c r="C10" s="450" t="s">
        <v>254</v>
      </c>
      <c r="D10" s="450"/>
      <c r="E10" s="450"/>
      <c r="F10" s="450"/>
      <c r="G10" s="450"/>
      <c r="H10" s="242">
        <f>SUM(H4:H9)</f>
        <v>2228409.1037894976</v>
      </c>
    </row>
    <row r="11" spans="2:10" x14ac:dyDescent="0.25">
      <c r="B11" s="41" t="s">
        <v>75</v>
      </c>
      <c r="C11" s="446" t="s">
        <v>255</v>
      </c>
      <c r="D11" s="446"/>
      <c r="E11" s="446"/>
      <c r="F11" s="52" t="s">
        <v>227</v>
      </c>
      <c r="G11" s="53">
        <v>0.03</v>
      </c>
      <c r="H11" s="237">
        <f t="shared" ref="H11:H16" si="1">G11*$H$10</f>
        <v>66852.273113684932</v>
      </c>
    </row>
    <row r="12" spans="2:10" x14ac:dyDescent="0.25">
      <c r="B12" s="41" t="s">
        <v>76</v>
      </c>
      <c r="C12" s="446" t="s">
        <v>256</v>
      </c>
      <c r="D12" s="446"/>
      <c r="E12" s="446"/>
      <c r="F12" s="52" t="s">
        <v>227</v>
      </c>
      <c r="G12" s="53">
        <v>0.03</v>
      </c>
      <c r="H12" s="237">
        <f t="shared" si="1"/>
        <v>66852.273113684932</v>
      </c>
    </row>
    <row r="13" spans="2:10" x14ac:dyDescent="0.25">
      <c r="B13" s="41" t="s">
        <v>77</v>
      </c>
      <c r="C13" s="446" t="s">
        <v>257</v>
      </c>
      <c r="D13" s="446"/>
      <c r="E13" s="446"/>
      <c r="F13" s="52" t="s">
        <v>227</v>
      </c>
      <c r="G13" s="53">
        <v>0.03</v>
      </c>
      <c r="H13" s="237">
        <f t="shared" si="1"/>
        <v>66852.273113684932</v>
      </c>
    </row>
    <row r="14" spans="2:10" x14ac:dyDescent="0.25">
      <c r="B14" s="41" t="s">
        <v>78</v>
      </c>
      <c r="C14" s="446" t="s">
        <v>258</v>
      </c>
      <c r="D14" s="446"/>
      <c r="E14" s="446"/>
      <c r="F14" s="52" t="s">
        <v>227</v>
      </c>
      <c r="G14" s="53">
        <v>0.04</v>
      </c>
      <c r="H14" s="237">
        <f t="shared" si="1"/>
        <v>89136.36415157991</v>
      </c>
    </row>
    <row r="15" spans="2:10" x14ac:dyDescent="0.25">
      <c r="B15" s="41" t="s">
        <v>213</v>
      </c>
      <c r="C15" s="446" t="s">
        <v>259</v>
      </c>
      <c r="D15" s="446"/>
      <c r="E15" s="446"/>
      <c r="F15" s="52" t="s">
        <v>227</v>
      </c>
      <c r="G15" s="53">
        <v>0.02</v>
      </c>
      <c r="H15" s="237">
        <f t="shared" si="1"/>
        <v>44568.182075789955</v>
      </c>
    </row>
    <row r="16" spans="2:10" x14ac:dyDescent="0.25">
      <c r="B16" s="41" t="s">
        <v>92</v>
      </c>
      <c r="C16" s="446" t="s">
        <v>260</v>
      </c>
      <c r="D16" s="446"/>
      <c r="E16" s="446"/>
      <c r="F16" s="52" t="s">
        <v>227</v>
      </c>
      <c r="G16" s="53">
        <v>0.1</v>
      </c>
      <c r="H16" s="237">
        <f t="shared" si="1"/>
        <v>222840.91037894977</v>
      </c>
    </row>
    <row r="17" spans="2:8" x14ac:dyDescent="0.25">
      <c r="B17" s="352" t="s">
        <v>93</v>
      </c>
      <c r="C17" s="451" t="s">
        <v>261</v>
      </c>
      <c r="D17" s="452"/>
      <c r="E17" s="453"/>
      <c r="F17" s="457" t="s">
        <v>144</v>
      </c>
      <c r="G17" s="458"/>
      <c r="H17" s="237">
        <f>'UG line labour'!AY49</f>
        <v>2671523.9063968817</v>
      </c>
    </row>
    <row r="18" spans="2:8" x14ac:dyDescent="0.25">
      <c r="B18" s="353"/>
      <c r="C18" s="454"/>
      <c r="D18" s="455"/>
      <c r="E18" s="456"/>
      <c r="F18" s="457" t="s">
        <v>145</v>
      </c>
      <c r="G18" s="458"/>
      <c r="H18" s="237">
        <f>'UG line labour'!AZ49</f>
        <v>3600523.9063968817</v>
      </c>
    </row>
    <row r="19" spans="2:8" x14ac:dyDescent="0.25">
      <c r="B19" s="331" t="s">
        <v>94</v>
      </c>
      <c r="C19" s="355" t="s">
        <v>262</v>
      </c>
      <c r="D19" s="355"/>
      <c r="E19" s="355"/>
      <c r="F19" s="446" t="s">
        <v>144</v>
      </c>
      <c r="G19" s="446"/>
      <c r="H19" s="238">
        <f>SUM(H10:H17)</f>
        <v>5457035.2861337531</v>
      </c>
    </row>
    <row r="20" spans="2:8" x14ac:dyDescent="0.25">
      <c r="B20" s="331"/>
      <c r="C20" s="355"/>
      <c r="D20" s="355"/>
      <c r="E20" s="355"/>
      <c r="F20" s="446" t="s">
        <v>145</v>
      </c>
      <c r="G20" s="446"/>
      <c r="H20" s="238">
        <f>SUM(H10:H16,H18)</f>
        <v>6386035.2861337531</v>
      </c>
    </row>
    <row r="21" spans="2:8" x14ac:dyDescent="0.25">
      <c r="H21" s="243"/>
    </row>
  </sheetData>
  <mergeCells count="16">
    <mergeCell ref="C14:E14"/>
    <mergeCell ref="D2:H2"/>
    <mergeCell ref="C10:G10"/>
    <mergeCell ref="C11:E11"/>
    <mergeCell ref="C12:E12"/>
    <mergeCell ref="C13:E13"/>
    <mergeCell ref="B19:B20"/>
    <mergeCell ref="C19:E20"/>
    <mergeCell ref="F19:G19"/>
    <mergeCell ref="F20:G20"/>
    <mergeCell ref="C15:E15"/>
    <mergeCell ref="C16:E16"/>
    <mergeCell ref="B17:B18"/>
    <mergeCell ref="C17:E18"/>
    <mergeCell ref="F17:G17"/>
    <mergeCell ref="F18:G18"/>
  </mergeCells>
  <pageMargins left="0.7" right="0.7" top="0.75" bottom="0.75" header="0.3" footer="0.3"/>
  <pageSetup scale="97"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0"/>
  <sheetViews>
    <sheetView zoomScaleNormal="100" workbookViewId="0"/>
  </sheetViews>
  <sheetFormatPr defaultRowHeight="15" x14ac:dyDescent="0.25"/>
  <cols>
    <col min="2" max="2" width="5.5703125" style="105" customWidth="1"/>
    <col min="3" max="3" width="5.5703125" customWidth="1"/>
    <col min="4" max="4" width="51" customWidth="1"/>
    <col min="5" max="5" width="4.7109375" style="105" bestFit="1" customWidth="1"/>
    <col min="6" max="6" width="4.28515625" style="105" bestFit="1" customWidth="1"/>
    <col min="7" max="7" width="9.42578125" bestFit="1" customWidth="1"/>
    <col min="8" max="8" width="12.140625" bestFit="1" customWidth="1"/>
  </cols>
  <sheetData>
    <row r="1" spans="2:10" x14ac:dyDescent="0.25">
      <c r="B1" s="98"/>
      <c r="C1" s="99"/>
      <c r="D1" s="99"/>
      <c r="E1" s="98"/>
      <c r="F1" s="98"/>
      <c r="G1" s="99"/>
      <c r="H1" s="99"/>
    </row>
    <row r="2" spans="2:10" ht="49.5" customHeight="1" x14ac:dyDescent="0.25">
      <c r="C2" s="158"/>
      <c r="D2" s="447" t="s">
        <v>849</v>
      </c>
      <c r="E2" s="448"/>
      <c r="F2" s="448"/>
      <c r="G2" s="448"/>
      <c r="H2" s="449"/>
    </row>
    <row r="3" spans="2:10" ht="25.5" x14ac:dyDescent="0.25">
      <c r="B3" s="100" t="s">
        <v>572</v>
      </c>
      <c r="C3" s="101" t="s">
        <v>229</v>
      </c>
      <c r="D3" s="101" t="s">
        <v>2</v>
      </c>
      <c r="E3" s="100" t="s">
        <v>154</v>
      </c>
      <c r="F3" s="245" t="s">
        <v>107</v>
      </c>
      <c r="G3" s="245" t="s">
        <v>231</v>
      </c>
      <c r="H3" s="245" t="s">
        <v>232</v>
      </c>
    </row>
    <row r="4" spans="2:10" x14ac:dyDescent="0.25">
      <c r="B4" s="34">
        <v>1</v>
      </c>
      <c r="C4" s="34" t="s">
        <v>546</v>
      </c>
      <c r="D4" s="244" t="s">
        <v>547</v>
      </c>
      <c r="E4" s="41" t="s">
        <v>574</v>
      </c>
      <c r="F4" s="22">
        <v>2</v>
      </c>
      <c r="G4" s="237">
        <v>830169.34667716187</v>
      </c>
      <c r="H4" s="237">
        <f t="shared" ref="H4:H9" si="0">F4*G4</f>
        <v>1660338.6933543237</v>
      </c>
      <c r="J4" s="46"/>
    </row>
    <row r="5" spans="2:10" ht="25.5" x14ac:dyDescent="0.25">
      <c r="B5" s="34">
        <v>2</v>
      </c>
      <c r="C5" s="72" t="s">
        <v>595</v>
      </c>
      <c r="D5" s="244" t="s">
        <v>596</v>
      </c>
      <c r="E5" s="22" t="s">
        <v>158</v>
      </c>
      <c r="F5" s="22">
        <v>4</v>
      </c>
      <c r="G5" s="50">
        <v>10773</v>
      </c>
      <c r="H5" s="50">
        <f t="shared" si="0"/>
        <v>43092</v>
      </c>
      <c r="J5" s="46"/>
    </row>
    <row r="6" spans="2:10" ht="25.5" x14ac:dyDescent="0.25">
      <c r="B6" s="34">
        <v>3</v>
      </c>
      <c r="C6" s="72" t="s">
        <v>552</v>
      </c>
      <c r="D6" s="244" t="s">
        <v>553</v>
      </c>
      <c r="E6" s="22" t="s">
        <v>158</v>
      </c>
      <c r="F6" s="22">
        <v>1</v>
      </c>
      <c r="G6" s="50">
        <v>11460</v>
      </c>
      <c r="H6" s="50">
        <f t="shared" si="0"/>
        <v>11460</v>
      </c>
      <c r="J6" s="46"/>
    </row>
    <row r="7" spans="2:10" ht="25.5" x14ac:dyDescent="0.25">
      <c r="B7" s="34">
        <v>4</v>
      </c>
      <c r="C7" s="72" t="s">
        <v>554</v>
      </c>
      <c r="D7" s="244" t="s">
        <v>597</v>
      </c>
      <c r="E7" s="22" t="s">
        <v>158</v>
      </c>
      <c r="F7" s="22">
        <v>1</v>
      </c>
      <c r="G7" s="50">
        <v>18101</v>
      </c>
      <c r="H7" s="50">
        <f t="shared" si="0"/>
        <v>18101</v>
      </c>
      <c r="J7" s="46"/>
    </row>
    <row r="8" spans="2:10" x14ac:dyDescent="0.25">
      <c r="B8" s="34">
        <v>5</v>
      </c>
      <c r="C8" s="84" t="s">
        <v>591</v>
      </c>
      <c r="D8" s="57" t="s">
        <v>592</v>
      </c>
      <c r="E8" s="22" t="s">
        <v>574</v>
      </c>
      <c r="F8" s="22">
        <v>2</v>
      </c>
      <c r="G8" s="50">
        <v>944.6</v>
      </c>
      <c r="H8" s="50">
        <f t="shared" si="0"/>
        <v>1889.2</v>
      </c>
      <c r="J8" s="46"/>
    </row>
    <row r="9" spans="2:10" x14ac:dyDescent="0.25">
      <c r="B9" s="34">
        <v>6</v>
      </c>
      <c r="C9" s="22"/>
      <c r="D9" s="57" t="s">
        <v>583</v>
      </c>
      <c r="E9" s="22" t="s">
        <v>157</v>
      </c>
      <c r="F9" s="22">
        <v>40</v>
      </c>
      <c r="G9" s="102">
        <v>139</v>
      </c>
      <c r="H9" s="50">
        <f t="shared" si="0"/>
        <v>5560</v>
      </c>
      <c r="J9" s="46"/>
    </row>
    <row r="10" spans="2:10" x14ac:dyDescent="0.25">
      <c r="B10" s="245" t="s">
        <v>74</v>
      </c>
      <c r="C10" s="450" t="s">
        <v>254</v>
      </c>
      <c r="D10" s="450"/>
      <c r="E10" s="450"/>
      <c r="F10" s="450"/>
      <c r="G10" s="450"/>
      <c r="H10" s="242">
        <f>SUM(H4:H9)</f>
        <v>1740440.8933543237</v>
      </c>
    </row>
    <row r="11" spans="2:10" x14ac:dyDescent="0.25">
      <c r="B11" s="41" t="s">
        <v>75</v>
      </c>
      <c r="C11" s="446" t="s">
        <v>255</v>
      </c>
      <c r="D11" s="446"/>
      <c r="E11" s="446"/>
      <c r="F11" s="52" t="s">
        <v>227</v>
      </c>
      <c r="G11" s="53">
        <v>0.03</v>
      </c>
      <c r="H11" s="237">
        <f t="shared" ref="H11:H16" si="1">G11*$H$10</f>
        <v>52213.226800629709</v>
      </c>
    </row>
    <row r="12" spans="2:10" x14ac:dyDescent="0.25">
      <c r="B12" s="41" t="s">
        <v>76</v>
      </c>
      <c r="C12" s="446" t="s">
        <v>256</v>
      </c>
      <c r="D12" s="446"/>
      <c r="E12" s="446"/>
      <c r="F12" s="52" t="s">
        <v>227</v>
      </c>
      <c r="G12" s="53">
        <v>0.03</v>
      </c>
      <c r="H12" s="237">
        <f t="shared" si="1"/>
        <v>52213.226800629709</v>
      </c>
    </row>
    <row r="13" spans="2:10" x14ac:dyDescent="0.25">
      <c r="B13" s="41" t="s">
        <v>77</v>
      </c>
      <c r="C13" s="446" t="s">
        <v>257</v>
      </c>
      <c r="D13" s="446"/>
      <c r="E13" s="446"/>
      <c r="F13" s="52" t="s">
        <v>227</v>
      </c>
      <c r="G13" s="53">
        <v>0.03</v>
      </c>
      <c r="H13" s="237">
        <f t="shared" si="1"/>
        <v>52213.226800629709</v>
      </c>
    </row>
    <row r="14" spans="2:10" x14ac:dyDescent="0.25">
      <c r="B14" s="41" t="s">
        <v>78</v>
      </c>
      <c r="C14" s="446" t="s">
        <v>258</v>
      </c>
      <c r="D14" s="446"/>
      <c r="E14" s="446"/>
      <c r="F14" s="52" t="s">
        <v>227</v>
      </c>
      <c r="G14" s="53">
        <v>0.04</v>
      </c>
      <c r="H14" s="237">
        <f t="shared" si="1"/>
        <v>69617.635734172945</v>
      </c>
    </row>
    <row r="15" spans="2:10" x14ac:dyDescent="0.25">
      <c r="B15" s="41" t="s">
        <v>213</v>
      </c>
      <c r="C15" s="446" t="s">
        <v>259</v>
      </c>
      <c r="D15" s="446"/>
      <c r="E15" s="446"/>
      <c r="F15" s="52" t="s">
        <v>227</v>
      </c>
      <c r="G15" s="53">
        <v>0.02</v>
      </c>
      <c r="H15" s="237">
        <f t="shared" si="1"/>
        <v>34808.817867086473</v>
      </c>
    </row>
    <row r="16" spans="2:10" x14ac:dyDescent="0.25">
      <c r="B16" s="41" t="s">
        <v>92</v>
      </c>
      <c r="C16" s="446" t="s">
        <v>260</v>
      </c>
      <c r="D16" s="446"/>
      <c r="E16" s="446"/>
      <c r="F16" s="52" t="s">
        <v>227</v>
      </c>
      <c r="G16" s="53">
        <v>0.1</v>
      </c>
      <c r="H16" s="237">
        <f t="shared" si="1"/>
        <v>174044.08933543239</v>
      </c>
    </row>
    <row r="17" spans="2:8" x14ac:dyDescent="0.25">
      <c r="B17" s="352" t="s">
        <v>93</v>
      </c>
      <c r="C17" s="451" t="s">
        <v>261</v>
      </c>
      <c r="D17" s="452"/>
      <c r="E17" s="453"/>
      <c r="F17" s="457" t="s">
        <v>144</v>
      </c>
      <c r="G17" s="458"/>
      <c r="H17" s="237">
        <f>'UG line labour'!BB49</f>
        <v>2159479.9179713218</v>
      </c>
    </row>
    <row r="18" spans="2:8" x14ac:dyDescent="0.25">
      <c r="B18" s="353"/>
      <c r="C18" s="454"/>
      <c r="D18" s="455"/>
      <c r="E18" s="456"/>
      <c r="F18" s="457" t="s">
        <v>145</v>
      </c>
      <c r="G18" s="458"/>
      <c r="H18" s="237">
        <f>'UG line labour'!BC49</f>
        <v>2918479.9179713218</v>
      </c>
    </row>
    <row r="19" spans="2:8" x14ac:dyDescent="0.25">
      <c r="B19" s="331" t="s">
        <v>94</v>
      </c>
      <c r="C19" s="355" t="s">
        <v>262</v>
      </c>
      <c r="D19" s="355"/>
      <c r="E19" s="355"/>
      <c r="F19" s="446" t="s">
        <v>144</v>
      </c>
      <c r="G19" s="446"/>
      <c r="H19" s="238">
        <f>SUM(H10:H17)</f>
        <v>4335031.0346642267</v>
      </c>
    </row>
    <row r="20" spans="2:8" x14ac:dyDescent="0.25">
      <c r="B20" s="331"/>
      <c r="C20" s="355"/>
      <c r="D20" s="355"/>
      <c r="E20" s="355"/>
      <c r="F20" s="446" t="s">
        <v>145</v>
      </c>
      <c r="G20" s="446"/>
      <c r="H20" s="238">
        <f>SUM(H10:H16,H18)</f>
        <v>5094031.0346642267</v>
      </c>
    </row>
  </sheetData>
  <mergeCells count="16">
    <mergeCell ref="C14:E14"/>
    <mergeCell ref="D2:H2"/>
    <mergeCell ref="C10:G10"/>
    <mergeCell ref="C11:E11"/>
    <mergeCell ref="C12:E12"/>
    <mergeCell ref="C13:E13"/>
    <mergeCell ref="B19:B20"/>
    <mergeCell ref="C19:E20"/>
    <mergeCell ref="F19:G19"/>
    <mergeCell ref="F20:G20"/>
    <mergeCell ref="C15:E15"/>
    <mergeCell ref="C16:E16"/>
    <mergeCell ref="B17:B18"/>
    <mergeCell ref="C17:E18"/>
    <mergeCell ref="F17:G17"/>
    <mergeCell ref="F18:G18"/>
  </mergeCells>
  <pageMargins left="0.7" right="0.7" top="0.75" bottom="0.75" header="0.3" footer="0.3"/>
  <pageSetup scale="88"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0"/>
  <sheetViews>
    <sheetView zoomScaleNormal="100" workbookViewId="0"/>
  </sheetViews>
  <sheetFormatPr defaultRowHeight="15" x14ac:dyDescent="0.25"/>
  <cols>
    <col min="2" max="2" width="5.7109375" style="105" bestFit="1" customWidth="1"/>
    <col min="3" max="3" width="6.42578125" bestFit="1" customWidth="1"/>
    <col min="4" max="4" width="51" customWidth="1"/>
    <col min="5" max="5" width="4.7109375" style="105" bestFit="1" customWidth="1"/>
    <col min="6" max="6" width="4.28515625" style="105" bestFit="1" customWidth="1"/>
    <col min="7" max="7" width="10.42578125" bestFit="1" customWidth="1"/>
    <col min="8" max="8" width="12.5703125" bestFit="1" customWidth="1"/>
  </cols>
  <sheetData>
    <row r="1" spans="2:10" x14ac:dyDescent="0.25">
      <c r="B1" s="98"/>
      <c r="C1" s="99"/>
      <c r="D1" s="99"/>
      <c r="E1" s="98"/>
      <c r="F1" s="98"/>
      <c r="G1" s="99"/>
      <c r="H1" s="99"/>
    </row>
    <row r="2" spans="2:10" ht="49.5" customHeight="1" x14ac:dyDescent="0.25">
      <c r="C2" s="158"/>
      <c r="D2" s="447" t="s">
        <v>877</v>
      </c>
      <c r="E2" s="448"/>
      <c r="F2" s="448"/>
      <c r="G2" s="448"/>
      <c r="H2" s="449"/>
    </row>
    <row r="3" spans="2:10" ht="25.5" x14ac:dyDescent="0.25">
      <c r="B3" s="100" t="s">
        <v>572</v>
      </c>
      <c r="C3" s="101" t="s">
        <v>229</v>
      </c>
      <c r="D3" s="101" t="s">
        <v>2</v>
      </c>
      <c r="E3" s="100" t="s">
        <v>154</v>
      </c>
      <c r="F3" s="246" t="s">
        <v>107</v>
      </c>
      <c r="G3" s="246" t="s">
        <v>231</v>
      </c>
      <c r="H3" s="246" t="s">
        <v>232</v>
      </c>
    </row>
    <row r="4" spans="2:10" ht="20.25" customHeight="1" x14ac:dyDescent="0.25">
      <c r="B4" s="34">
        <v>1</v>
      </c>
      <c r="C4" s="34" t="s">
        <v>879</v>
      </c>
      <c r="D4" s="247" t="s">
        <v>880</v>
      </c>
      <c r="E4" s="22" t="s">
        <v>574</v>
      </c>
      <c r="F4" s="22">
        <v>1</v>
      </c>
      <c r="G4" s="237">
        <v>2531585.9470242718</v>
      </c>
      <c r="H4" s="237">
        <f t="shared" ref="H4:H9" si="0">F4*G4</f>
        <v>2531585.9470242718</v>
      </c>
      <c r="J4" s="46"/>
    </row>
    <row r="5" spans="2:10" ht="25.5" x14ac:dyDescent="0.25">
      <c r="B5" s="34">
        <v>2</v>
      </c>
      <c r="C5" s="253">
        <v>146.1</v>
      </c>
      <c r="D5" s="250" t="s">
        <v>859</v>
      </c>
      <c r="E5" s="22" t="s">
        <v>158</v>
      </c>
      <c r="F5" s="22">
        <v>4</v>
      </c>
      <c r="G5" s="50">
        <v>97068</v>
      </c>
      <c r="H5" s="50">
        <f t="shared" si="0"/>
        <v>388272</v>
      </c>
      <c r="J5" s="46"/>
    </row>
    <row r="6" spans="2:10" ht="25.5" x14ac:dyDescent="0.25">
      <c r="B6" s="34">
        <v>3</v>
      </c>
      <c r="C6" s="72">
        <v>145.1</v>
      </c>
      <c r="D6" s="250" t="s">
        <v>884</v>
      </c>
      <c r="E6" s="22" t="s">
        <v>158</v>
      </c>
      <c r="F6" s="22">
        <v>1</v>
      </c>
      <c r="G6" s="50">
        <v>28216</v>
      </c>
      <c r="H6" s="50">
        <f t="shared" si="0"/>
        <v>28216</v>
      </c>
      <c r="J6" s="46"/>
    </row>
    <row r="7" spans="2:10" ht="25.5" x14ac:dyDescent="0.25">
      <c r="B7" s="34">
        <v>4</v>
      </c>
      <c r="C7" s="72">
        <v>144.1</v>
      </c>
      <c r="D7" s="250" t="s">
        <v>885</v>
      </c>
      <c r="E7" s="22" t="s">
        <v>158</v>
      </c>
      <c r="F7" s="22">
        <v>1</v>
      </c>
      <c r="G7" s="50">
        <v>45347</v>
      </c>
      <c r="H7" s="50">
        <f t="shared" si="0"/>
        <v>45347</v>
      </c>
      <c r="J7" s="46"/>
    </row>
    <row r="8" spans="2:10" ht="20.25" customHeight="1" x14ac:dyDescent="0.25">
      <c r="B8" s="34">
        <v>5</v>
      </c>
      <c r="C8" s="41" t="s">
        <v>581</v>
      </c>
      <c r="D8" s="57" t="s">
        <v>624</v>
      </c>
      <c r="E8" s="22" t="s">
        <v>574</v>
      </c>
      <c r="F8" s="22">
        <v>1</v>
      </c>
      <c r="G8" s="50">
        <v>1203</v>
      </c>
      <c r="H8" s="50">
        <f t="shared" si="0"/>
        <v>1203</v>
      </c>
      <c r="J8" s="46"/>
    </row>
    <row r="9" spans="2:10" ht="20.25" customHeight="1" x14ac:dyDescent="0.25">
      <c r="B9" s="34">
        <v>6</v>
      </c>
      <c r="C9" s="22"/>
      <c r="D9" s="103" t="s">
        <v>583</v>
      </c>
      <c r="E9" s="22" t="s">
        <v>157</v>
      </c>
      <c r="F9" s="22">
        <v>20</v>
      </c>
      <c r="G9" s="102">
        <v>139</v>
      </c>
      <c r="H9" s="50">
        <f t="shared" si="0"/>
        <v>2780</v>
      </c>
      <c r="J9" s="46"/>
    </row>
    <row r="10" spans="2:10" x14ac:dyDescent="0.25">
      <c r="B10" s="246" t="s">
        <v>74</v>
      </c>
      <c r="C10" s="450" t="s">
        <v>254</v>
      </c>
      <c r="D10" s="450"/>
      <c r="E10" s="450"/>
      <c r="F10" s="450"/>
      <c r="G10" s="450"/>
      <c r="H10" s="256">
        <f>SUM(H4:H9)</f>
        <v>2997403.9470242718</v>
      </c>
    </row>
    <row r="11" spans="2:10" x14ac:dyDescent="0.25">
      <c r="B11" s="41" t="s">
        <v>75</v>
      </c>
      <c r="C11" s="446" t="s">
        <v>255</v>
      </c>
      <c r="D11" s="446"/>
      <c r="E11" s="446"/>
      <c r="F11" s="52" t="s">
        <v>227</v>
      </c>
      <c r="G11" s="53">
        <v>0.03</v>
      </c>
      <c r="H11" s="257">
        <f t="shared" ref="H11:H16" si="1">G11*$H$10</f>
        <v>89922.118410728144</v>
      </c>
    </row>
    <row r="12" spans="2:10" x14ac:dyDescent="0.25">
      <c r="B12" s="41" t="s">
        <v>76</v>
      </c>
      <c r="C12" s="446" t="s">
        <v>256</v>
      </c>
      <c r="D12" s="446"/>
      <c r="E12" s="446"/>
      <c r="F12" s="52" t="s">
        <v>227</v>
      </c>
      <c r="G12" s="53">
        <v>0.03</v>
      </c>
      <c r="H12" s="257">
        <f t="shared" si="1"/>
        <v>89922.118410728144</v>
      </c>
    </row>
    <row r="13" spans="2:10" x14ac:dyDescent="0.25">
      <c r="B13" s="41" t="s">
        <v>77</v>
      </c>
      <c r="C13" s="446" t="s">
        <v>257</v>
      </c>
      <c r="D13" s="446"/>
      <c r="E13" s="446"/>
      <c r="F13" s="52" t="s">
        <v>227</v>
      </c>
      <c r="G13" s="53">
        <v>0.03</v>
      </c>
      <c r="H13" s="257">
        <f t="shared" si="1"/>
        <v>89922.118410728144</v>
      </c>
    </row>
    <row r="14" spans="2:10" x14ac:dyDescent="0.25">
      <c r="B14" s="41" t="s">
        <v>78</v>
      </c>
      <c r="C14" s="446" t="s">
        <v>258</v>
      </c>
      <c r="D14" s="446"/>
      <c r="E14" s="446"/>
      <c r="F14" s="52" t="s">
        <v>227</v>
      </c>
      <c r="G14" s="53">
        <v>0.04</v>
      </c>
      <c r="H14" s="257">
        <f t="shared" si="1"/>
        <v>119896.15788097087</v>
      </c>
    </row>
    <row r="15" spans="2:10" x14ac:dyDescent="0.25">
      <c r="B15" s="41" t="s">
        <v>213</v>
      </c>
      <c r="C15" s="446" t="s">
        <v>259</v>
      </c>
      <c r="D15" s="446"/>
      <c r="E15" s="446"/>
      <c r="F15" s="52" t="s">
        <v>227</v>
      </c>
      <c r="G15" s="53">
        <v>0.02</v>
      </c>
      <c r="H15" s="257">
        <f t="shared" si="1"/>
        <v>59948.078940485437</v>
      </c>
    </row>
    <row r="16" spans="2:10" x14ac:dyDescent="0.25">
      <c r="B16" s="41" t="s">
        <v>92</v>
      </c>
      <c r="C16" s="446" t="s">
        <v>260</v>
      </c>
      <c r="D16" s="446"/>
      <c r="E16" s="446"/>
      <c r="F16" s="52" t="s">
        <v>227</v>
      </c>
      <c r="G16" s="53">
        <v>0.1</v>
      </c>
      <c r="H16" s="257">
        <f t="shared" si="1"/>
        <v>299740.39470242721</v>
      </c>
    </row>
    <row r="17" spans="2:8" x14ac:dyDescent="0.25">
      <c r="B17" s="352" t="s">
        <v>93</v>
      </c>
      <c r="C17" s="451" t="s">
        <v>261</v>
      </c>
      <c r="D17" s="452"/>
      <c r="E17" s="453"/>
      <c r="F17" s="457" t="s">
        <v>144</v>
      </c>
      <c r="G17" s="458"/>
      <c r="H17" s="257">
        <f>'UG line labour'!BE49</f>
        <v>1351246.4996021863</v>
      </c>
    </row>
    <row r="18" spans="2:8" x14ac:dyDescent="0.25">
      <c r="B18" s="353"/>
      <c r="C18" s="454"/>
      <c r="D18" s="455"/>
      <c r="E18" s="456"/>
      <c r="F18" s="457" t="s">
        <v>145</v>
      </c>
      <c r="G18" s="458"/>
      <c r="H18" s="257">
        <f>'UG line labour'!BF49</f>
        <v>1815746.4996021863</v>
      </c>
    </row>
    <row r="19" spans="2:8" x14ac:dyDescent="0.25">
      <c r="B19" s="331" t="s">
        <v>94</v>
      </c>
      <c r="C19" s="355" t="s">
        <v>262</v>
      </c>
      <c r="D19" s="355"/>
      <c r="E19" s="355"/>
      <c r="F19" s="446" t="s">
        <v>144</v>
      </c>
      <c r="G19" s="446"/>
      <c r="H19" s="258">
        <f>SUM(H10:H17)</f>
        <v>5098001.4333825251</v>
      </c>
    </row>
    <row r="20" spans="2:8" x14ac:dyDescent="0.25">
      <c r="B20" s="331"/>
      <c r="C20" s="355"/>
      <c r="D20" s="355"/>
      <c r="E20" s="355"/>
      <c r="F20" s="446" t="s">
        <v>145</v>
      </c>
      <c r="G20" s="446"/>
      <c r="H20" s="258">
        <f>SUM(H10:H16,H18)</f>
        <v>5562501.4333825251</v>
      </c>
    </row>
  </sheetData>
  <mergeCells count="16">
    <mergeCell ref="B19:B20"/>
    <mergeCell ref="C19:E20"/>
    <mergeCell ref="F19:G19"/>
    <mergeCell ref="F20:G20"/>
    <mergeCell ref="C15:E15"/>
    <mergeCell ref="C16:E16"/>
    <mergeCell ref="B17:B18"/>
    <mergeCell ref="C17:E18"/>
    <mergeCell ref="F17:G17"/>
    <mergeCell ref="F18:G18"/>
    <mergeCell ref="C14:E14"/>
    <mergeCell ref="D2:H2"/>
    <mergeCell ref="C10:G10"/>
    <mergeCell ref="C11:E11"/>
    <mergeCell ref="C12:E12"/>
    <mergeCell ref="C13:E13"/>
  </mergeCells>
  <pageMargins left="0.7" right="0.7" top="0.75" bottom="0.75" header="0.3" footer="0.3"/>
  <pageSetup scale="88"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0"/>
  <sheetViews>
    <sheetView zoomScaleNormal="100" workbookViewId="0"/>
  </sheetViews>
  <sheetFormatPr defaultRowHeight="15" x14ac:dyDescent="0.25"/>
  <cols>
    <col min="2" max="2" width="5.7109375" style="105" bestFit="1" customWidth="1"/>
    <col min="3" max="3" width="5.28515625" customWidth="1"/>
    <col min="4" max="4" width="51" customWidth="1"/>
    <col min="5" max="5" width="4.7109375" style="105" bestFit="1" customWidth="1"/>
    <col min="6" max="6" width="4.28515625" style="105" bestFit="1" customWidth="1"/>
    <col min="7" max="7" width="10.42578125" bestFit="1" customWidth="1"/>
    <col min="8" max="8" width="12.28515625" bestFit="1" customWidth="1"/>
  </cols>
  <sheetData>
    <row r="1" spans="2:10" x14ac:dyDescent="0.25">
      <c r="B1" s="98"/>
      <c r="C1" s="99"/>
      <c r="D1" s="99"/>
      <c r="E1" s="98"/>
      <c r="F1" s="98"/>
      <c r="G1" s="99"/>
      <c r="H1" s="99"/>
    </row>
    <row r="2" spans="2:10" ht="49.5" customHeight="1" x14ac:dyDescent="0.25">
      <c r="C2" s="158"/>
      <c r="D2" s="447" t="s">
        <v>831</v>
      </c>
      <c r="E2" s="448"/>
      <c r="F2" s="448"/>
      <c r="G2" s="448"/>
      <c r="H2" s="449"/>
    </row>
    <row r="3" spans="2:10" ht="25.5" x14ac:dyDescent="0.25">
      <c r="B3" s="100" t="s">
        <v>572</v>
      </c>
      <c r="C3" s="101" t="s">
        <v>229</v>
      </c>
      <c r="D3" s="101" t="s">
        <v>2</v>
      </c>
      <c r="E3" s="100" t="s">
        <v>154</v>
      </c>
      <c r="F3" s="94" t="s">
        <v>107</v>
      </c>
      <c r="G3" s="94" t="s">
        <v>231</v>
      </c>
      <c r="H3" s="94" t="s">
        <v>232</v>
      </c>
    </row>
    <row r="4" spans="2:10" ht="20.25" customHeight="1" x14ac:dyDescent="0.25">
      <c r="B4" s="34">
        <v>1</v>
      </c>
      <c r="C4" s="34" t="s">
        <v>573</v>
      </c>
      <c r="D4" s="152" t="s">
        <v>505</v>
      </c>
      <c r="E4" s="22" t="s">
        <v>574</v>
      </c>
      <c r="F4" s="22">
        <v>1</v>
      </c>
      <c r="G4" s="237">
        <v>1592843.4988363076</v>
      </c>
      <c r="H4" s="237">
        <f t="shared" ref="H4:H9" si="0">F4*G4</f>
        <v>1592843.4988363076</v>
      </c>
      <c r="J4" s="46"/>
    </row>
    <row r="5" spans="2:10" ht="25.5" x14ac:dyDescent="0.25">
      <c r="B5" s="34">
        <v>2</v>
      </c>
      <c r="C5" s="72" t="s">
        <v>575</v>
      </c>
      <c r="D5" s="152" t="s">
        <v>576</v>
      </c>
      <c r="E5" s="22" t="s">
        <v>158</v>
      </c>
      <c r="F5" s="22">
        <v>4</v>
      </c>
      <c r="G5" s="50">
        <v>86681</v>
      </c>
      <c r="H5" s="50">
        <f t="shared" si="0"/>
        <v>346724</v>
      </c>
      <c r="J5" s="46"/>
    </row>
    <row r="6" spans="2:10" ht="25.5" x14ac:dyDescent="0.25">
      <c r="B6" s="34">
        <v>3</v>
      </c>
      <c r="C6" s="72" t="s">
        <v>577</v>
      </c>
      <c r="D6" s="152" t="s">
        <v>578</v>
      </c>
      <c r="E6" s="22" t="s">
        <v>158</v>
      </c>
      <c r="F6" s="22">
        <v>1</v>
      </c>
      <c r="G6" s="50">
        <v>28216</v>
      </c>
      <c r="H6" s="50">
        <f t="shared" si="0"/>
        <v>28216</v>
      </c>
      <c r="J6" s="46"/>
    </row>
    <row r="7" spans="2:10" ht="25.5" x14ac:dyDescent="0.25">
      <c r="B7" s="34">
        <v>4</v>
      </c>
      <c r="C7" s="72" t="s">
        <v>579</v>
      </c>
      <c r="D7" s="152" t="s">
        <v>580</v>
      </c>
      <c r="E7" s="22" t="s">
        <v>158</v>
      </c>
      <c r="F7" s="22">
        <v>1</v>
      </c>
      <c r="G7" s="50">
        <v>45347</v>
      </c>
      <c r="H7" s="50">
        <f t="shared" si="0"/>
        <v>45347</v>
      </c>
      <c r="J7" s="46"/>
    </row>
    <row r="8" spans="2:10" ht="20.25" customHeight="1" x14ac:dyDescent="0.25">
      <c r="B8" s="34">
        <v>5</v>
      </c>
      <c r="C8" s="41" t="s">
        <v>581</v>
      </c>
      <c r="D8" s="57" t="s">
        <v>624</v>
      </c>
      <c r="E8" s="22" t="s">
        <v>574</v>
      </c>
      <c r="F8" s="22">
        <v>1</v>
      </c>
      <c r="G8" s="50">
        <v>1203</v>
      </c>
      <c r="H8" s="50">
        <f t="shared" si="0"/>
        <v>1203</v>
      </c>
      <c r="J8" s="46"/>
    </row>
    <row r="9" spans="2:10" ht="20.25" customHeight="1" x14ac:dyDescent="0.25">
      <c r="B9" s="34">
        <v>6</v>
      </c>
      <c r="C9" s="22"/>
      <c r="D9" s="103" t="s">
        <v>583</v>
      </c>
      <c r="E9" s="22" t="s">
        <v>157</v>
      </c>
      <c r="F9" s="22">
        <v>20</v>
      </c>
      <c r="G9" s="102">
        <v>139</v>
      </c>
      <c r="H9" s="50">
        <f t="shared" si="0"/>
        <v>2780</v>
      </c>
      <c r="J9" s="46"/>
    </row>
    <row r="10" spans="2:10" x14ac:dyDescent="0.25">
      <c r="B10" s="94" t="s">
        <v>74</v>
      </c>
      <c r="C10" s="450" t="s">
        <v>254</v>
      </c>
      <c r="D10" s="450"/>
      <c r="E10" s="450"/>
      <c r="F10" s="450"/>
      <c r="G10" s="450"/>
      <c r="H10" s="242">
        <f>SUM(H4:H9)</f>
        <v>2017113.4988363076</v>
      </c>
    </row>
    <row r="11" spans="2:10" x14ac:dyDescent="0.25">
      <c r="B11" s="41" t="s">
        <v>75</v>
      </c>
      <c r="C11" s="446" t="s">
        <v>255</v>
      </c>
      <c r="D11" s="446"/>
      <c r="E11" s="446"/>
      <c r="F11" s="52" t="s">
        <v>227</v>
      </c>
      <c r="G11" s="53">
        <v>0.03</v>
      </c>
      <c r="H11" s="237">
        <f t="shared" ref="H11:H16" si="1">G11*$H$10</f>
        <v>60513.404965089227</v>
      </c>
    </row>
    <row r="12" spans="2:10" x14ac:dyDescent="0.25">
      <c r="B12" s="41" t="s">
        <v>76</v>
      </c>
      <c r="C12" s="446" t="s">
        <v>256</v>
      </c>
      <c r="D12" s="446"/>
      <c r="E12" s="446"/>
      <c r="F12" s="52" t="s">
        <v>227</v>
      </c>
      <c r="G12" s="53">
        <v>0.03</v>
      </c>
      <c r="H12" s="237">
        <f t="shared" si="1"/>
        <v>60513.404965089227</v>
      </c>
    </row>
    <row r="13" spans="2:10" x14ac:dyDescent="0.25">
      <c r="B13" s="41" t="s">
        <v>77</v>
      </c>
      <c r="C13" s="446" t="s">
        <v>257</v>
      </c>
      <c r="D13" s="446"/>
      <c r="E13" s="446"/>
      <c r="F13" s="52" t="s">
        <v>227</v>
      </c>
      <c r="G13" s="53">
        <v>0.03</v>
      </c>
      <c r="H13" s="237">
        <f t="shared" si="1"/>
        <v>60513.404965089227</v>
      </c>
    </row>
    <row r="14" spans="2:10" x14ac:dyDescent="0.25">
      <c r="B14" s="41" t="s">
        <v>78</v>
      </c>
      <c r="C14" s="446" t="s">
        <v>258</v>
      </c>
      <c r="D14" s="446"/>
      <c r="E14" s="446"/>
      <c r="F14" s="52" t="s">
        <v>227</v>
      </c>
      <c r="G14" s="53">
        <v>0.04</v>
      </c>
      <c r="H14" s="237">
        <f t="shared" si="1"/>
        <v>80684.539953452302</v>
      </c>
    </row>
    <row r="15" spans="2:10" x14ac:dyDescent="0.25">
      <c r="B15" s="41" t="s">
        <v>213</v>
      </c>
      <c r="C15" s="446" t="s">
        <v>259</v>
      </c>
      <c r="D15" s="446"/>
      <c r="E15" s="446"/>
      <c r="F15" s="52" t="s">
        <v>227</v>
      </c>
      <c r="G15" s="53">
        <v>0.02</v>
      </c>
      <c r="H15" s="237">
        <f t="shared" si="1"/>
        <v>40342.269976726151</v>
      </c>
    </row>
    <row r="16" spans="2:10" x14ac:dyDescent="0.25">
      <c r="B16" s="41" t="s">
        <v>92</v>
      </c>
      <c r="C16" s="446" t="s">
        <v>260</v>
      </c>
      <c r="D16" s="446"/>
      <c r="E16" s="446"/>
      <c r="F16" s="52" t="s">
        <v>227</v>
      </c>
      <c r="G16" s="53">
        <v>0.1</v>
      </c>
      <c r="H16" s="237">
        <f t="shared" si="1"/>
        <v>201711.34988363076</v>
      </c>
    </row>
    <row r="17" spans="2:8" x14ac:dyDescent="0.25">
      <c r="B17" s="352" t="s">
        <v>93</v>
      </c>
      <c r="C17" s="451" t="s">
        <v>261</v>
      </c>
      <c r="D17" s="452"/>
      <c r="E17" s="453"/>
      <c r="F17" s="457" t="s">
        <v>144</v>
      </c>
      <c r="G17" s="458"/>
      <c r="H17" s="237">
        <f>'UG line labour'!O49</f>
        <v>1351246.4996021863</v>
      </c>
    </row>
    <row r="18" spans="2:8" x14ac:dyDescent="0.25">
      <c r="B18" s="353"/>
      <c r="C18" s="454"/>
      <c r="D18" s="455"/>
      <c r="E18" s="456"/>
      <c r="F18" s="457" t="s">
        <v>145</v>
      </c>
      <c r="G18" s="458"/>
      <c r="H18" s="237">
        <f>'UG line labour'!P49</f>
        <v>1815746.4996021863</v>
      </c>
    </row>
    <row r="19" spans="2:8" x14ac:dyDescent="0.25">
      <c r="B19" s="331" t="s">
        <v>94</v>
      </c>
      <c r="C19" s="355" t="s">
        <v>262</v>
      </c>
      <c r="D19" s="355"/>
      <c r="E19" s="355"/>
      <c r="F19" s="446" t="s">
        <v>144</v>
      </c>
      <c r="G19" s="446"/>
      <c r="H19" s="238">
        <f>SUM(H10:H17)</f>
        <v>3872638.3731475705</v>
      </c>
    </row>
    <row r="20" spans="2:8" x14ac:dyDescent="0.25">
      <c r="B20" s="331"/>
      <c r="C20" s="355"/>
      <c r="D20" s="355"/>
      <c r="E20" s="355"/>
      <c r="F20" s="446" t="s">
        <v>145</v>
      </c>
      <c r="G20" s="446"/>
      <c r="H20" s="238">
        <f>SUM(H10:H16,H18)</f>
        <v>4337138.3731475705</v>
      </c>
    </row>
  </sheetData>
  <mergeCells count="16">
    <mergeCell ref="D2:H2"/>
    <mergeCell ref="B19:B20"/>
    <mergeCell ref="C19:E20"/>
    <mergeCell ref="F19:G19"/>
    <mergeCell ref="F20:G20"/>
    <mergeCell ref="C15:E15"/>
    <mergeCell ref="C16:E16"/>
    <mergeCell ref="B17:B18"/>
    <mergeCell ref="C17:E18"/>
    <mergeCell ref="F17:G17"/>
    <mergeCell ref="F18:G18"/>
    <mergeCell ref="C14:E14"/>
    <mergeCell ref="C10:G10"/>
    <mergeCell ref="C11:E11"/>
    <mergeCell ref="C12:E12"/>
    <mergeCell ref="C13:E13"/>
  </mergeCells>
  <pageMargins left="0.7" right="0.7" top="0.75" bottom="0.75" header="0.3" footer="0.3"/>
  <pageSetup scale="88"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0"/>
  <sheetViews>
    <sheetView zoomScaleNormal="100" workbookViewId="0"/>
  </sheetViews>
  <sheetFormatPr defaultRowHeight="15" x14ac:dyDescent="0.25"/>
  <cols>
    <col min="2" max="2" width="5.7109375" style="105" bestFit="1" customWidth="1"/>
    <col min="3" max="3" width="5.42578125" bestFit="1" customWidth="1"/>
    <col min="4" max="4" width="51" customWidth="1"/>
    <col min="5" max="5" width="4.7109375" style="105" bestFit="1" customWidth="1"/>
    <col min="6" max="6" width="4.28515625" style="105" bestFit="1" customWidth="1"/>
    <col min="7" max="7" width="10.42578125" bestFit="1" customWidth="1"/>
    <col min="8" max="8" width="12.28515625" bestFit="1" customWidth="1"/>
  </cols>
  <sheetData>
    <row r="1" spans="2:10" x14ac:dyDescent="0.25">
      <c r="B1" s="98"/>
      <c r="C1" s="99"/>
      <c r="D1" s="99"/>
      <c r="E1" s="98"/>
      <c r="F1" s="98"/>
      <c r="G1" s="99"/>
      <c r="H1" s="99"/>
    </row>
    <row r="2" spans="2:10" ht="49.5" customHeight="1" x14ac:dyDescent="0.25">
      <c r="C2" s="158"/>
      <c r="D2" s="447" t="s">
        <v>828</v>
      </c>
      <c r="E2" s="448"/>
      <c r="F2" s="448"/>
      <c r="G2" s="448"/>
      <c r="H2" s="449"/>
    </row>
    <row r="3" spans="2:10" ht="25.5" x14ac:dyDescent="0.25">
      <c r="B3" s="100" t="s">
        <v>572</v>
      </c>
      <c r="C3" s="101" t="s">
        <v>229</v>
      </c>
      <c r="D3" s="101" t="s">
        <v>2</v>
      </c>
      <c r="E3" s="100" t="s">
        <v>154</v>
      </c>
      <c r="F3" s="94" t="s">
        <v>107</v>
      </c>
      <c r="G3" s="94" t="s">
        <v>231</v>
      </c>
      <c r="H3" s="94" t="s">
        <v>232</v>
      </c>
    </row>
    <row r="4" spans="2:10" x14ac:dyDescent="0.25">
      <c r="B4" s="34">
        <v>1</v>
      </c>
      <c r="C4" s="34" t="s">
        <v>584</v>
      </c>
      <c r="D4" s="152" t="s">
        <v>506</v>
      </c>
      <c r="E4" s="22" t="s">
        <v>574</v>
      </c>
      <c r="F4" s="22">
        <v>1</v>
      </c>
      <c r="G4" s="237">
        <v>1249884.4874210353</v>
      </c>
      <c r="H4" s="237">
        <f t="shared" ref="H4:H9" si="0">F4*G4</f>
        <v>1249884.4874210353</v>
      </c>
      <c r="J4" s="46"/>
    </row>
    <row r="5" spans="2:10" ht="25.5" x14ac:dyDescent="0.25">
      <c r="B5" s="34">
        <v>2</v>
      </c>
      <c r="C5" s="72" t="s">
        <v>585</v>
      </c>
      <c r="D5" s="152" t="s">
        <v>586</v>
      </c>
      <c r="E5" s="22" t="s">
        <v>158</v>
      </c>
      <c r="F5" s="22">
        <v>4</v>
      </c>
      <c r="G5" s="50">
        <v>86681</v>
      </c>
      <c r="H5" s="50">
        <f t="shared" si="0"/>
        <v>346724</v>
      </c>
      <c r="J5" s="46"/>
    </row>
    <row r="6" spans="2:10" ht="25.5" x14ac:dyDescent="0.25">
      <c r="B6" s="34">
        <v>3</v>
      </c>
      <c r="C6" s="41" t="s">
        <v>587</v>
      </c>
      <c r="D6" s="152" t="s">
        <v>588</v>
      </c>
      <c r="E6" s="22" t="s">
        <v>158</v>
      </c>
      <c r="F6" s="22">
        <v>1</v>
      </c>
      <c r="G6" s="50">
        <v>24884</v>
      </c>
      <c r="H6" s="50">
        <f t="shared" si="0"/>
        <v>24884</v>
      </c>
      <c r="J6" s="46"/>
    </row>
    <row r="7" spans="2:10" ht="25.5" x14ac:dyDescent="0.25">
      <c r="B7" s="34">
        <v>4</v>
      </c>
      <c r="C7" s="41" t="s">
        <v>589</v>
      </c>
      <c r="D7" s="152" t="s">
        <v>590</v>
      </c>
      <c r="E7" s="22" t="s">
        <v>158</v>
      </c>
      <c r="F7" s="22">
        <v>1</v>
      </c>
      <c r="G7" s="50">
        <v>34261</v>
      </c>
      <c r="H7" s="50">
        <f t="shared" si="0"/>
        <v>34261</v>
      </c>
      <c r="J7" s="46"/>
    </row>
    <row r="8" spans="2:10" x14ac:dyDescent="0.25">
      <c r="B8" s="34">
        <v>5</v>
      </c>
      <c r="C8" s="84" t="s">
        <v>591</v>
      </c>
      <c r="D8" s="57" t="s">
        <v>592</v>
      </c>
      <c r="E8" s="22" t="s">
        <v>574</v>
      </c>
      <c r="F8" s="22">
        <v>1</v>
      </c>
      <c r="G8" s="50">
        <v>944.6</v>
      </c>
      <c r="H8" s="50">
        <f t="shared" si="0"/>
        <v>944.6</v>
      </c>
      <c r="J8" s="46"/>
    </row>
    <row r="9" spans="2:10" x14ac:dyDescent="0.25">
      <c r="B9" s="34">
        <v>6</v>
      </c>
      <c r="C9" s="22"/>
      <c r="D9" s="103" t="s">
        <v>583</v>
      </c>
      <c r="E9" s="22" t="s">
        <v>157</v>
      </c>
      <c r="F9" s="22">
        <v>20</v>
      </c>
      <c r="G9" s="102">
        <v>139</v>
      </c>
      <c r="H9" s="50">
        <f t="shared" si="0"/>
        <v>2780</v>
      </c>
      <c r="J9" s="46"/>
    </row>
    <row r="10" spans="2:10" x14ac:dyDescent="0.25">
      <c r="B10" s="94" t="s">
        <v>74</v>
      </c>
      <c r="C10" s="450" t="s">
        <v>254</v>
      </c>
      <c r="D10" s="450"/>
      <c r="E10" s="450"/>
      <c r="F10" s="450"/>
      <c r="G10" s="450"/>
      <c r="H10" s="242">
        <f>SUM(H4:H9)</f>
        <v>1659478.0874210354</v>
      </c>
    </row>
    <row r="11" spans="2:10" x14ac:dyDescent="0.25">
      <c r="B11" s="41" t="s">
        <v>75</v>
      </c>
      <c r="C11" s="446" t="s">
        <v>255</v>
      </c>
      <c r="D11" s="446"/>
      <c r="E11" s="446"/>
      <c r="F11" s="52" t="s">
        <v>227</v>
      </c>
      <c r="G11" s="53">
        <v>0.03</v>
      </c>
      <c r="H11" s="237">
        <f t="shared" ref="H11:H16" si="1">G11*$H$10</f>
        <v>49784.342622631062</v>
      </c>
    </row>
    <row r="12" spans="2:10" x14ac:dyDescent="0.25">
      <c r="B12" s="41" t="s">
        <v>76</v>
      </c>
      <c r="C12" s="446" t="s">
        <v>256</v>
      </c>
      <c r="D12" s="446"/>
      <c r="E12" s="446"/>
      <c r="F12" s="52" t="s">
        <v>227</v>
      </c>
      <c r="G12" s="53">
        <v>0.03</v>
      </c>
      <c r="H12" s="237">
        <f t="shared" si="1"/>
        <v>49784.342622631062</v>
      </c>
    </row>
    <row r="13" spans="2:10" x14ac:dyDescent="0.25">
      <c r="B13" s="41" t="s">
        <v>77</v>
      </c>
      <c r="C13" s="446" t="s">
        <v>257</v>
      </c>
      <c r="D13" s="446"/>
      <c r="E13" s="446"/>
      <c r="F13" s="52" t="s">
        <v>227</v>
      </c>
      <c r="G13" s="53">
        <v>0.03</v>
      </c>
      <c r="H13" s="237">
        <f t="shared" si="1"/>
        <v>49784.342622631062</v>
      </c>
    </row>
    <row r="14" spans="2:10" x14ac:dyDescent="0.25">
      <c r="B14" s="41" t="s">
        <v>78</v>
      </c>
      <c r="C14" s="446" t="s">
        <v>258</v>
      </c>
      <c r="D14" s="446"/>
      <c r="E14" s="446"/>
      <c r="F14" s="52" t="s">
        <v>227</v>
      </c>
      <c r="G14" s="53">
        <v>0.04</v>
      </c>
      <c r="H14" s="237">
        <f t="shared" si="1"/>
        <v>66379.123496841421</v>
      </c>
    </row>
    <row r="15" spans="2:10" x14ac:dyDescent="0.25">
      <c r="B15" s="41" t="s">
        <v>213</v>
      </c>
      <c r="C15" s="446" t="s">
        <v>259</v>
      </c>
      <c r="D15" s="446"/>
      <c r="E15" s="446"/>
      <c r="F15" s="52" t="s">
        <v>227</v>
      </c>
      <c r="G15" s="53">
        <v>0.02</v>
      </c>
      <c r="H15" s="237">
        <f t="shared" si="1"/>
        <v>33189.561748420711</v>
      </c>
    </row>
    <row r="16" spans="2:10" x14ac:dyDescent="0.25">
      <c r="B16" s="41" t="s">
        <v>92</v>
      </c>
      <c r="C16" s="446" t="s">
        <v>260</v>
      </c>
      <c r="D16" s="446"/>
      <c r="E16" s="446"/>
      <c r="F16" s="52" t="s">
        <v>227</v>
      </c>
      <c r="G16" s="53">
        <v>0.1</v>
      </c>
      <c r="H16" s="237">
        <f t="shared" si="1"/>
        <v>165947.80874210355</v>
      </c>
    </row>
    <row r="17" spans="2:8" x14ac:dyDescent="0.25">
      <c r="B17" s="352" t="s">
        <v>93</v>
      </c>
      <c r="C17" s="451" t="s">
        <v>261</v>
      </c>
      <c r="D17" s="452"/>
      <c r="E17" s="453"/>
      <c r="F17" s="457" t="s">
        <v>144</v>
      </c>
      <c r="G17" s="458"/>
      <c r="H17" s="237">
        <f>'UG line labour'!R49</f>
        <v>1101995.2573886556</v>
      </c>
    </row>
    <row r="18" spans="2:8" x14ac:dyDescent="0.25">
      <c r="B18" s="353"/>
      <c r="C18" s="454"/>
      <c r="D18" s="455"/>
      <c r="E18" s="456"/>
      <c r="F18" s="457" t="s">
        <v>145</v>
      </c>
      <c r="G18" s="458"/>
      <c r="H18" s="237">
        <f>'UG line labour'!S49</f>
        <v>1481495.2573886556</v>
      </c>
    </row>
    <row r="19" spans="2:8" x14ac:dyDescent="0.25">
      <c r="B19" s="331" t="s">
        <v>94</v>
      </c>
      <c r="C19" s="355" t="s">
        <v>262</v>
      </c>
      <c r="D19" s="355"/>
      <c r="E19" s="355"/>
      <c r="F19" s="446" t="s">
        <v>144</v>
      </c>
      <c r="G19" s="446"/>
      <c r="H19" s="238">
        <f>SUM(H10:H17)</f>
        <v>3176342.8666649498</v>
      </c>
    </row>
    <row r="20" spans="2:8" x14ac:dyDescent="0.25">
      <c r="B20" s="331"/>
      <c r="C20" s="355"/>
      <c r="D20" s="355"/>
      <c r="E20" s="355"/>
      <c r="F20" s="446" t="s">
        <v>145</v>
      </c>
      <c r="G20" s="446"/>
      <c r="H20" s="238">
        <f>SUM(H10:H16,H18)</f>
        <v>3555842.8666649498</v>
      </c>
    </row>
  </sheetData>
  <mergeCells count="16">
    <mergeCell ref="D2:H2"/>
    <mergeCell ref="B19:B20"/>
    <mergeCell ref="C19:E20"/>
    <mergeCell ref="F19:G19"/>
    <mergeCell ref="F20:G20"/>
    <mergeCell ref="C15:E15"/>
    <mergeCell ref="C16:E16"/>
    <mergeCell ref="B17:B18"/>
    <mergeCell ref="C17:E18"/>
    <mergeCell ref="F17:G17"/>
    <mergeCell ref="F18:G18"/>
    <mergeCell ref="C14:E14"/>
    <mergeCell ref="C10:G10"/>
    <mergeCell ref="C11:E11"/>
    <mergeCell ref="C12:E12"/>
    <mergeCell ref="C13:E13"/>
  </mergeCells>
  <pageMargins left="0.7" right="0.7" top="0.75" bottom="0.75" header="0.3" footer="0.3"/>
  <pageSetup scale="97"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1"/>
  <sheetViews>
    <sheetView zoomScaleNormal="100" workbookViewId="0"/>
  </sheetViews>
  <sheetFormatPr defaultRowHeight="15" x14ac:dyDescent="0.25"/>
  <cols>
    <col min="2" max="2" width="5.7109375" style="105" bestFit="1" customWidth="1"/>
    <col min="3" max="3" width="5.42578125" customWidth="1"/>
    <col min="4" max="4" width="51" customWidth="1"/>
    <col min="5" max="5" width="4.7109375" style="105" bestFit="1" customWidth="1"/>
    <col min="6" max="6" width="4.28515625" style="105" bestFit="1" customWidth="1"/>
    <col min="7" max="7" width="10.42578125" bestFit="1" customWidth="1"/>
    <col min="8" max="8" width="12.5703125" bestFit="1" customWidth="1"/>
  </cols>
  <sheetData>
    <row r="1" spans="2:10" x14ac:dyDescent="0.25">
      <c r="B1" s="98"/>
      <c r="C1" s="99"/>
      <c r="D1" s="99"/>
      <c r="E1" s="98"/>
      <c r="F1" s="98"/>
      <c r="G1" s="99"/>
      <c r="H1" s="99"/>
    </row>
    <row r="2" spans="2:10" ht="49.5" customHeight="1" x14ac:dyDescent="0.25">
      <c r="C2" s="95"/>
      <c r="D2" s="447" t="s">
        <v>878</v>
      </c>
      <c r="E2" s="448"/>
      <c r="F2" s="448"/>
      <c r="G2" s="448"/>
      <c r="H2" s="449"/>
    </row>
    <row r="3" spans="2:10" ht="25.5" x14ac:dyDescent="0.25">
      <c r="B3" s="100" t="s">
        <v>572</v>
      </c>
      <c r="C3" s="101" t="s">
        <v>229</v>
      </c>
      <c r="D3" s="101" t="s">
        <v>2</v>
      </c>
      <c r="E3" s="100" t="s">
        <v>154</v>
      </c>
      <c r="F3" s="246" t="s">
        <v>107</v>
      </c>
      <c r="G3" s="246" t="s">
        <v>231</v>
      </c>
      <c r="H3" s="246" t="s">
        <v>232</v>
      </c>
    </row>
    <row r="4" spans="2:10" x14ac:dyDescent="0.25">
      <c r="B4" s="34">
        <v>1</v>
      </c>
      <c r="C4" s="34" t="s">
        <v>881</v>
      </c>
      <c r="D4" s="247" t="s">
        <v>882</v>
      </c>
      <c r="E4" s="22" t="s">
        <v>574</v>
      </c>
      <c r="F4" s="22">
        <v>1</v>
      </c>
      <c r="G4" s="237">
        <v>1465992.3523938716</v>
      </c>
      <c r="H4" s="237">
        <f t="shared" ref="H4:H9" si="0">F4*G4</f>
        <v>1465992.3523938716</v>
      </c>
      <c r="J4" s="46"/>
    </row>
    <row r="5" spans="2:10" ht="25.5" x14ac:dyDescent="0.25">
      <c r="B5" s="34">
        <v>2</v>
      </c>
      <c r="C5" s="253">
        <v>148.1</v>
      </c>
      <c r="D5" s="250" t="s">
        <v>886</v>
      </c>
      <c r="E5" s="22" t="s">
        <v>158</v>
      </c>
      <c r="F5" s="22">
        <v>4</v>
      </c>
      <c r="G5" s="50">
        <v>13734</v>
      </c>
      <c r="H5" s="50">
        <f t="shared" si="0"/>
        <v>54936</v>
      </c>
      <c r="J5" s="46"/>
    </row>
    <row r="6" spans="2:10" ht="25.5" x14ac:dyDescent="0.25">
      <c r="B6" s="34">
        <v>3</v>
      </c>
      <c r="C6" s="253">
        <v>147.1</v>
      </c>
      <c r="D6" s="250" t="s">
        <v>861</v>
      </c>
      <c r="E6" s="22" t="s">
        <v>158</v>
      </c>
      <c r="F6" s="22">
        <v>1</v>
      </c>
      <c r="G6" s="50">
        <v>13472</v>
      </c>
      <c r="H6" s="50">
        <f t="shared" si="0"/>
        <v>13472</v>
      </c>
      <c r="J6" s="46"/>
    </row>
    <row r="7" spans="2:10" ht="25.5" x14ac:dyDescent="0.25">
      <c r="B7" s="34">
        <v>4</v>
      </c>
      <c r="C7" s="72" t="s">
        <v>887</v>
      </c>
      <c r="D7" s="250" t="s">
        <v>888</v>
      </c>
      <c r="E7" s="22" t="s">
        <v>158</v>
      </c>
      <c r="F7" s="22">
        <v>1</v>
      </c>
      <c r="G7" s="50">
        <v>20602</v>
      </c>
      <c r="H7" s="50">
        <f t="shared" si="0"/>
        <v>20602</v>
      </c>
      <c r="J7" s="46"/>
    </row>
    <row r="8" spans="2:10" x14ac:dyDescent="0.25">
      <c r="B8" s="34">
        <v>5</v>
      </c>
      <c r="C8" s="41" t="s">
        <v>581</v>
      </c>
      <c r="D8" s="57" t="s">
        <v>582</v>
      </c>
      <c r="E8" s="22" t="s">
        <v>574</v>
      </c>
      <c r="F8" s="22">
        <v>1</v>
      </c>
      <c r="G8" s="50">
        <v>1203</v>
      </c>
      <c r="H8" s="50">
        <f t="shared" si="0"/>
        <v>1203</v>
      </c>
      <c r="J8" s="46"/>
    </row>
    <row r="9" spans="2:10" x14ac:dyDescent="0.25">
      <c r="B9" s="34">
        <v>6</v>
      </c>
      <c r="C9" s="22"/>
      <c r="D9" s="103" t="s">
        <v>583</v>
      </c>
      <c r="E9" s="22" t="s">
        <v>157</v>
      </c>
      <c r="F9" s="22">
        <v>20</v>
      </c>
      <c r="G9" s="102">
        <v>139</v>
      </c>
      <c r="H9" s="50">
        <f t="shared" si="0"/>
        <v>2780</v>
      </c>
      <c r="J9" s="46"/>
    </row>
    <row r="10" spans="2:10" x14ac:dyDescent="0.25">
      <c r="B10" s="246" t="s">
        <v>74</v>
      </c>
      <c r="C10" s="450" t="s">
        <v>254</v>
      </c>
      <c r="D10" s="450"/>
      <c r="E10" s="450"/>
      <c r="F10" s="450"/>
      <c r="G10" s="450"/>
      <c r="H10" s="242">
        <f>SUM(H4:H9)</f>
        <v>1558985.3523938716</v>
      </c>
    </row>
    <row r="11" spans="2:10" x14ac:dyDescent="0.25">
      <c r="B11" s="41" t="s">
        <v>75</v>
      </c>
      <c r="C11" s="446" t="s">
        <v>255</v>
      </c>
      <c r="D11" s="446"/>
      <c r="E11" s="446"/>
      <c r="F11" s="52" t="s">
        <v>227</v>
      </c>
      <c r="G11" s="53">
        <v>0.03</v>
      </c>
      <c r="H11" s="257">
        <f t="shared" ref="H11:H16" si="1">G11*$H$10</f>
        <v>46769.560571816146</v>
      </c>
    </row>
    <row r="12" spans="2:10" x14ac:dyDescent="0.25">
      <c r="B12" s="41" t="s">
        <v>76</v>
      </c>
      <c r="C12" s="446" t="s">
        <v>256</v>
      </c>
      <c r="D12" s="446"/>
      <c r="E12" s="446"/>
      <c r="F12" s="52" t="s">
        <v>227</v>
      </c>
      <c r="G12" s="53">
        <v>0.03</v>
      </c>
      <c r="H12" s="257">
        <f t="shared" si="1"/>
        <v>46769.560571816146</v>
      </c>
    </row>
    <row r="13" spans="2:10" x14ac:dyDescent="0.25">
      <c r="B13" s="41" t="s">
        <v>77</v>
      </c>
      <c r="C13" s="446" t="s">
        <v>257</v>
      </c>
      <c r="D13" s="446"/>
      <c r="E13" s="446"/>
      <c r="F13" s="52" t="s">
        <v>227</v>
      </c>
      <c r="G13" s="53">
        <v>0.03</v>
      </c>
      <c r="H13" s="257">
        <f t="shared" si="1"/>
        <v>46769.560571816146</v>
      </c>
    </row>
    <row r="14" spans="2:10" x14ac:dyDescent="0.25">
      <c r="B14" s="41" t="s">
        <v>78</v>
      </c>
      <c r="C14" s="446" t="s">
        <v>258</v>
      </c>
      <c r="D14" s="446"/>
      <c r="E14" s="446"/>
      <c r="F14" s="52" t="s">
        <v>227</v>
      </c>
      <c r="G14" s="53">
        <v>0.04</v>
      </c>
      <c r="H14" s="257">
        <f t="shared" si="1"/>
        <v>62359.414095754866</v>
      </c>
    </row>
    <row r="15" spans="2:10" x14ac:dyDescent="0.25">
      <c r="B15" s="41" t="s">
        <v>213</v>
      </c>
      <c r="C15" s="446" t="s">
        <v>259</v>
      </c>
      <c r="D15" s="446"/>
      <c r="E15" s="446"/>
      <c r="F15" s="52" t="s">
        <v>227</v>
      </c>
      <c r="G15" s="53">
        <v>0.02</v>
      </c>
      <c r="H15" s="257">
        <f t="shared" si="1"/>
        <v>31179.707047877433</v>
      </c>
    </row>
    <row r="16" spans="2:10" x14ac:dyDescent="0.25">
      <c r="B16" s="41" t="s">
        <v>92</v>
      </c>
      <c r="C16" s="446" t="s">
        <v>260</v>
      </c>
      <c r="D16" s="446"/>
      <c r="E16" s="446"/>
      <c r="F16" s="52" t="s">
        <v>227</v>
      </c>
      <c r="G16" s="53">
        <v>0.1</v>
      </c>
      <c r="H16" s="257">
        <f t="shared" si="1"/>
        <v>155898.53523938716</v>
      </c>
    </row>
    <row r="17" spans="2:8" x14ac:dyDescent="0.25">
      <c r="B17" s="352" t="s">
        <v>93</v>
      </c>
      <c r="C17" s="451" t="s">
        <v>261</v>
      </c>
      <c r="D17" s="452"/>
      <c r="E17" s="453"/>
      <c r="F17" s="457" t="s">
        <v>144</v>
      </c>
      <c r="G17" s="458"/>
      <c r="H17" s="257">
        <f>'UG line labour'!BH49</f>
        <v>1348301.2578338264</v>
      </c>
    </row>
    <row r="18" spans="2:8" x14ac:dyDescent="0.25">
      <c r="B18" s="353"/>
      <c r="C18" s="454"/>
      <c r="D18" s="455"/>
      <c r="E18" s="456"/>
      <c r="F18" s="457" t="s">
        <v>145</v>
      </c>
      <c r="G18" s="458"/>
      <c r="H18" s="257">
        <f>'UG line labour'!BI49</f>
        <v>1812801.2578338264</v>
      </c>
    </row>
    <row r="19" spans="2:8" x14ac:dyDescent="0.25">
      <c r="B19" s="331" t="s">
        <v>94</v>
      </c>
      <c r="C19" s="355" t="s">
        <v>262</v>
      </c>
      <c r="D19" s="355"/>
      <c r="E19" s="355"/>
      <c r="F19" s="446" t="s">
        <v>144</v>
      </c>
      <c r="G19" s="446"/>
      <c r="H19" s="258">
        <f>SUM(H10:H17)</f>
        <v>3297032.9483261658</v>
      </c>
    </row>
    <row r="20" spans="2:8" x14ac:dyDescent="0.25">
      <c r="B20" s="331"/>
      <c r="C20" s="355"/>
      <c r="D20" s="355"/>
      <c r="E20" s="355"/>
      <c r="F20" s="446" t="s">
        <v>145</v>
      </c>
      <c r="G20" s="446"/>
      <c r="H20" s="258">
        <f>SUM(H10:H16,H18)</f>
        <v>3761532.9483261658</v>
      </c>
    </row>
    <row r="21" spans="2:8" x14ac:dyDescent="0.25">
      <c r="H21" s="243"/>
    </row>
  </sheetData>
  <mergeCells count="16">
    <mergeCell ref="B19:B20"/>
    <mergeCell ref="C19:E20"/>
    <mergeCell ref="F19:G19"/>
    <mergeCell ref="F20:G20"/>
    <mergeCell ref="C15:E15"/>
    <mergeCell ref="C16:E16"/>
    <mergeCell ref="B17:B18"/>
    <mergeCell ref="C17:E18"/>
    <mergeCell ref="F17:G17"/>
    <mergeCell ref="F18:G18"/>
    <mergeCell ref="C14:E14"/>
    <mergeCell ref="D2:H2"/>
    <mergeCell ref="C10:G10"/>
    <mergeCell ref="C11:E11"/>
    <mergeCell ref="C12:E12"/>
    <mergeCell ref="C13:E13"/>
  </mergeCells>
  <pageMargins left="0.7" right="0.7" top="0.75" bottom="0.75" header="0.3" footer="0.3"/>
  <pageSetup scale="97"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1"/>
  <sheetViews>
    <sheetView zoomScaleNormal="100" workbookViewId="0"/>
  </sheetViews>
  <sheetFormatPr defaultRowHeight="15" x14ac:dyDescent="0.25"/>
  <cols>
    <col min="2" max="2" width="5.7109375" style="105" bestFit="1" customWidth="1"/>
    <col min="3" max="3" width="5.42578125" customWidth="1"/>
    <col min="4" max="4" width="51" customWidth="1"/>
    <col min="5" max="5" width="4.7109375" style="105" bestFit="1" customWidth="1"/>
    <col min="6" max="6" width="4.28515625" style="105" bestFit="1" customWidth="1"/>
    <col min="7" max="7" width="10.42578125" bestFit="1" customWidth="1"/>
    <col min="8" max="8" width="12.5703125" bestFit="1" customWidth="1"/>
  </cols>
  <sheetData>
    <row r="1" spans="2:10" x14ac:dyDescent="0.25">
      <c r="B1" s="98"/>
      <c r="C1" s="99"/>
      <c r="D1" s="99"/>
      <c r="E1" s="98"/>
      <c r="F1" s="98"/>
      <c r="G1" s="99"/>
      <c r="H1" s="99"/>
    </row>
    <row r="2" spans="2:10" ht="49.5" customHeight="1" x14ac:dyDescent="0.25">
      <c r="C2" s="95"/>
      <c r="D2" s="447" t="s">
        <v>829</v>
      </c>
      <c r="E2" s="448"/>
      <c r="F2" s="448"/>
      <c r="G2" s="448"/>
      <c r="H2" s="449"/>
    </row>
    <row r="3" spans="2:10" ht="25.5" x14ac:dyDescent="0.25">
      <c r="B3" s="100" t="s">
        <v>572</v>
      </c>
      <c r="C3" s="101" t="s">
        <v>229</v>
      </c>
      <c r="D3" s="101" t="s">
        <v>2</v>
      </c>
      <c r="E3" s="100" t="s">
        <v>154</v>
      </c>
      <c r="F3" s="94" t="s">
        <v>107</v>
      </c>
      <c r="G3" s="94" t="s">
        <v>231</v>
      </c>
      <c r="H3" s="94" t="s">
        <v>232</v>
      </c>
    </row>
    <row r="4" spans="2:10" x14ac:dyDescent="0.25">
      <c r="B4" s="34">
        <v>1</v>
      </c>
      <c r="C4" s="34" t="s">
        <v>544</v>
      </c>
      <c r="D4" s="152" t="s">
        <v>545</v>
      </c>
      <c r="E4" s="22" t="s">
        <v>574</v>
      </c>
      <c r="F4" s="22">
        <v>1</v>
      </c>
      <c r="G4" s="237">
        <v>1072644.5518947488</v>
      </c>
      <c r="H4" s="237">
        <f t="shared" ref="H4:H9" si="0">F4*G4</f>
        <v>1072644.5518947488</v>
      </c>
      <c r="J4" s="46"/>
    </row>
    <row r="5" spans="2:10" ht="25.5" x14ac:dyDescent="0.25">
      <c r="B5" s="34">
        <v>2</v>
      </c>
      <c r="C5" s="72" t="s">
        <v>593</v>
      </c>
      <c r="D5" s="152" t="s">
        <v>594</v>
      </c>
      <c r="E5" s="22" t="s">
        <v>158</v>
      </c>
      <c r="F5" s="22">
        <v>4</v>
      </c>
      <c r="G5" s="50">
        <v>10773</v>
      </c>
      <c r="H5" s="50">
        <f t="shared" si="0"/>
        <v>43092</v>
      </c>
      <c r="J5" s="46"/>
    </row>
    <row r="6" spans="2:10" ht="25.5" x14ac:dyDescent="0.25">
      <c r="B6" s="34">
        <v>3</v>
      </c>
      <c r="C6" s="72" t="s">
        <v>548</v>
      </c>
      <c r="D6" s="152" t="s">
        <v>549</v>
      </c>
      <c r="E6" s="22" t="s">
        <v>158</v>
      </c>
      <c r="F6" s="22">
        <v>1</v>
      </c>
      <c r="G6" s="50">
        <v>11460</v>
      </c>
      <c r="H6" s="50">
        <f t="shared" si="0"/>
        <v>11460</v>
      </c>
      <c r="J6" s="46"/>
    </row>
    <row r="7" spans="2:10" ht="25.5" x14ac:dyDescent="0.25">
      <c r="B7" s="34">
        <v>4</v>
      </c>
      <c r="C7" s="72" t="s">
        <v>550</v>
      </c>
      <c r="D7" s="152" t="s">
        <v>551</v>
      </c>
      <c r="E7" s="22" t="s">
        <v>158</v>
      </c>
      <c r="F7" s="22">
        <v>1</v>
      </c>
      <c r="G7" s="50">
        <v>20602</v>
      </c>
      <c r="H7" s="50">
        <f t="shared" si="0"/>
        <v>20602</v>
      </c>
      <c r="J7" s="46"/>
    </row>
    <row r="8" spans="2:10" x14ac:dyDescent="0.25">
      <c r="B8" s="34">
        <v>5</v>
      </c>
      <c r="C8" s="41" t="s">
        <v>581</v>
      </c>
      <c r="D8" s="57" t="s">
        <v>582</v>
      </c>
      <c r="E8" s="22" t="s">
        <v>574</v>
      </c>
      <c r="F8" s="22">
        <v>1</v>
      </c>
      <c r="G8" s="50">
        <v>1203</v>
      </c>
      <c r="H8" s="50">
        <f t="shared" si="0"/>
        <v>1203</v>
      </c>
      <c r="J8" s="46"/>
    </row>
    <row r="9" spans="2:10" x14ac:dyDescent="0.25">
      <c r="B9" s="34">
        <v>6</v>
      </c>
      <c r="C9" s="22"/>
      <c r="D9" s="103" t="s">
        <v>583</v>
      </c>
      <c r="E9" s="22" t="s">
        <v>157</v>
      </c>
      <c r="F9" s="22">
        <v>20</v>
      </c>
      <c r="G9" s="102">
        <v>139</v>
      </c>
      <c r="H9" s="50">
        <f t="shared" si="0"/>
        <v>2780</v>
      </c>
      <c r="J9" s="46"/>
    </row>
    <row r="10" spans="2:10" x14ac:dyDescent="0.25">
      <c r="B10" s="94" t="s">
        <v>74</v>
      </c>
      <c r="C10" s="450" t="s">
        <v>254</v>
      </c>
      <c r="D10" s="450"/>
      <c r="E10" s="450"/>
      <c r="F10" s="450"/>
      <c r="G10" s="450"/>
      <c r="H10" s="242">
        <f>SUM(H4:H9)</f>
        <v>1151781.5518947488</v>
      </c>
    </row>
    <row r="11" spans="2:10" x14ac:dyDescent="0.25">
      <c r="B11" s="41" t="s">
        <v>75</v>
      </c>
      <c r="C11" s="446" t="s">
        <v>255</v>
      </c>
      <c r="D11" s="446"/>
      <c r="E11" s="446"/>
      <c r="F11" s="52" t="s">
        <v>227</v>
      </c>
      <c r="G11" s="53">
        <v>0.03</v>
      </c>
      <c r="H11" s="237">
        <f t="shared" ref="H11:H16" si="1">G11*$H$10</f>
        <v>34553.446556842464</v>
      </c>
    </row>
    <row r="12" spans="2:10" x14ac:dyDescent="0.25">
      <c r="B12" s="41" t="s">
        <v>76</v>
      </c>
      <c r="C12" s="446" t="s">
        <v>256</v>
      </c>
      <c r="D12" s="446"/>
      <c r="E12" s="446"/>
      <c r="F12" s="52" t="s">
        <v>227</v>
      </c>
      <c r="G12" s="53">
        <v>0.03</v>
      </c>
      <c r="H12" s="237">
        <f t="shared" si="1"/>
        <v>34553.446556842464</v>
      </c>
    </row>
    <row r="13" spans="2:10" x14ac:dyDescent="0.25">
      <c r="B13" s="41" t="s">
        <v>77</v>
      </c>
      <c r="C13" s="446" t="s">
        <v>257</v>
      </c>
      <c r="D13" s="446"/>
      <c r="E13" s="446"/>
      <c r="F13" s="52" t="s">
        <v>227</v>
      </c>
      <c r="G13" s="53">
        <v>0.03</v>
      </c>
      <c r="H13" s="237">
        <f t="shared" si="1"/>
        <v>34553.446556842464</v>
      </c>
    </row>
    <row r="14" spans="2:10" x14ac:dyDescent="0.25">
      <c r="B14" s="41" t="s">
        <v>78</v>
      </c>
      <c r="C14" s="446" t="s">
        <v>258</v>
      </c>
      <c r="D14" s="446"/>
      <c r="E14" s="446"/>
      <c r="F14" s="52" t="s">
        <v>227</v>
      </c>
      <c r="G14" s="53">
        <v>0.04</v>
      </c>
      <c r="H14" s="237">
        <f t="shared" si="1"/>
        <v>46071.262075789957</v>
      </c>
    </row>
    <row r="15" spans="2:10" x14ac:dyDescent="0.25">
      <c r="B15" s="41" t="s">
        <v>213</v>
      </c>
      <c r="C15" s="446" t="s">
        <v>259</v>
      </c>
      <c r="D15" s="446"/>
      <c r="E15" s="446"/>
      <c r="F15" s="52" t="s">
        <v>227</v>
      </c>
      <c r="G15" s="53">
        <v>0.02</v>
      </c>
      <c r="H15" s="237">
        <f t="shared" si="1"/>
        <v>23035.631037894978</v>
      </c>
    </row>
    <row r="16" spans="2:10" x14ac:dyDescent="0.25">
      <c r="B16" s="41" t="s">
        <v>92</v>
      </c>
      <c r="C16" s="446" t="s">
        <v>260</v>
      </c>
      <c r="D16" s="446"/>
      <c r="E16" s="446"/>
      <c r="F16" s="52" t="s">
        <v>227</v>
      </c>
      <c r="G16" s="53">
        <v>0.1</v>
      </c>
      <c r="H16" s="237">
        <f t="shared" si="1"/>
        <v>115178.15518947488</v>
      </c>
    </row>
    <row r="17" spans="2:8" x14ac:dyDescent="0.25">
      <c r="B17" s="352" t="s">
        <v>93</v>
      </c>
      <c r="C17" s="451" t="s">
        <v>261</v>
      </c>
      <c r="D17" s="452"/>
      <c r="E17" s="453"/>
      <c r="F17" s="457" t="s">
        <v>144</v>
      </c>
      <c r="G17" s="458"/>
      <c r="H17" s="257">
        <f>'UG line labour'!U49</f>
        <v>1341361.2622855341</v>
      </c>
    </row>
    <row r="18" spans="2:8" x14ac:dyDescent="0.25">
      <c r="B18" s="353"/>
      <c r="C18" s="454"/>
      <c r="D18" s="455"/>
      <c r="E18" s="456"/>
      <c r="F18" s="457" t="s">
        <v>145</v>
      </c>
      <c r="G18" s="458"/>
      <c r="H18" s="257">
        <f>'UG line labour'!V49</f>
        <v>1805861.2622855341</v>
      </c>
    </row>
    <row r="19" spans="2:8" x14ac:dyDescent="0.25">
      <c r="B19" s="331" t="s">
        <v>94</v>
      </c>
      <c r="C19" s="355" t="s">
        <v>262</v>
      </c>
      <c r="D19" s="355"/>
      <c r="E19" s="355"/>
      <c r="F19" s="446" t="s">
        <v>144</v>
      </c>
      <c r="G19" s="446"/>
      <c r="H19" s="258">
        <f>SUM(H10:H17)</f>
        <v>2781088.2021539696</v>
      </c>
    </row>
    <row r="20" spans="2:8" x14ac:dyDescent="0.25">
      <c r="B20" s="331"/>
      <c r="C20" s="355"/>
      <c r="D20" s="355"/>
      <c r="E20" s="355"/>
      <c r="F20" s="446" t="s">
        <v>145</v>
      </c>
      <c r="G20" s="446"/>
      <c r="H20" s="258">
        <f>SUM(H10:H16,H18)</f>
        <v>3245588.2021539696</v>
      </c>
    </row>
    <row r="21" spans="2:8" x14ac:dyDescent="0.25">
      <c r="H21" s="243"/>
    </row>
  </sheetData>
  <mergeCells count="16">
    <mergeCell ref="D2:H2"/>
    <mergeCell ref="B19:B20"/>
    <mergeCell ref="C19:E20"/>
    <mergeCell ref="F19:G19"/>
    <mergeCell ref="F20:G20"/>
    <mergeCell ref="C15:E15"/>
    <mergeCell ref="C16:E16"/>
    <mergeCell ref="B17:B18"/>
    <mergeCell ref="C17:E18"/>
    <mergeCell ref="F17:G17"/>
    <mergeCell ref="F18:G18"/>
    <mergeCell ref="C14:E14"/>
    <mergeCell ref="C10:G10"/>
    <mergeCell ref="C11:E11"/>
    <mergeCell ref="C12:E12"/>
    <mergeCell ref="C13:E13"/>
  </mergeCells>
  <pageMargins left="0.7" right="0.7" top="0.75" bottom="0.75" header="0.3" footer="0.3"/>
  <pageSetup scale="97"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0"/>
  <sheetViews>
    <sheetView zoomScaleNormal="100" workbookViewId="0"/>
  </sheetViews>
  <sheetFormatPr defaultRowHeight="15" x14ac:dyDescent="0.25"/>
  <cols>
    <col min="2" max="2" width="5.5703125" style="105" customWidth="1"/>
    <col min="3" max="3" width="5.5703125" customWidth="1"/>
    <col min="4" max="4" width="51" customWidth="1"/>
    <col min="5" max="5" width="4.7109375" style="105" bestFit="1" customWidth="1"/>
    <col min="6" max="6" width="4.28515625" style="105" bestFit="1" customWidth="1"/>
    <col min="7" max="7" width="9.42578125" bestFit="1" customWidth="1"/>
    <col min="8" max="8" width="12.5703125" bestFit="1" customWidth="1"/>
  </cols>
  <sheetData>
    <row r="1" spans="2:10" x14ac:dyDescent="0.25">
      <c r="B1" s="98"/>
      <c r="C1" s="99"/>
      <c r="D1" s="99"/>
      <c r="E1" s="98"/>
      <c r="F1" s="98"/>
      <c r="G1" s="99"/>
      <c r="H1" s="99"/>
    </row>
    <row r="2" spans="2:10" ht="49.5" customHeight="1" x14ac:dyDescent="0.25">
      <c r="C2" s="158"/>
      <c r="D2" s="447" t="s">
        <v>830</v>
      </c>
      <c r="E2" s="448"/>
      <c r="F2" s="448"/>
      <c r="G2" s="448"/>
      <c r="H2" s="449"/>
    </row>
    <row r="3" spans="2:10" ht="25.5" x14ac:dyDescent="0.25">
      <c r="B3" s="100" t="s">
        <v>572</v>
      </c>
      <c r="C3" s="101" t="s">
        <v>229</v>
      </c>
      <c r="D3" s="101" t="s">
        <v>2</v>
      </c>
      <c r="E3" s="100" t="s">
        <v>154</v>
      </c>
      <c r="F3" s="94" t="s">
        <v>107</v>
      </c>
      <c r="G3" s="94" t="s">
        <v>231</v>
      </c>
      <c r="H3" s="94" t="s">
        <v>232</v>
      </c>
    </row>
    <row r="4" spans="2:10" x14ac:dyDescent="0.25">
      <c r="B4" s="34">
        <v>1</v>
      </c>
      <c r="C4" s="34" t="s">
        <v>546</v>
      </c>
      <c r="D4" s="152" t="s">
        <v>547</v>
      </c>
      <c r="E4" s="41" t="s">
        <v>574</v>
      </c>
      <c r="F4" s="22">
        <v>1</v>
      </c>
      <c r="G4" s="237">
        <v>830169.34667716187</v>
      </c>
      <c r="H4" s="237">
        <f t="shared" ref="H4:H9" si="0">F4*G4</f>
        <v>830169.34667716187</v>
      </c>
      <c r="J4" s="46"/>
    </row>
    <row r="5" spans="2:10" ht="25.5" x14ac:dyDescent="0.25">
      <c r="B5" s="34">
        <v>2</v>
      </c>
      <c r="C5" s="72" t="s">
        <v>595</v>
      </c>
      <c r="D5" s="152" t="s">
        <v>596</v>
      </c>
      <c r="E5" s="22" t="s">
        <v>158</v>
      </c>
      <c r="F5" s="22">
        <v>4</v>
      </c>
      <c r="G5" s="50">
        <v>10773</v>
      </c>
      <c r="H5" s="50">
        <f t="shared" si="0"/>
        <v>43092</v>
      </c>
      <c r="J5" s="46"/>
    </row>
    <row r="6" spans="2:10" ht="25.5" x14ac:dyDescent="0.25">
      <c r="B6" s="34">
        <v>3</v>
      </c>
      <c r="C6" s="72" t="s">
        <v>552</v>
      </c>
      <c r="D6" s="152" t="s">
        <v>553</v>
      </c>
      <c r="E6" s="22" t="s">
        <v>158</v>
      </c>
      <c r="F6" s="22">
        <v>1</v>
      </c>
      <c r="G6" s="50">
        <v>11460</v>
      </c>
      <c r="H6" s="50">
        <f t="shared" si="0"/>
        <v>11460</v>
      </c>
      <c r="J6" s="46"/>
    </row>
    <row r="7" spans="2:10" ht="25.5" x14ac:dyDescent="0.25">
      <c r="B7" s="34">
        <v>4</v>
      </c>
      <c r="C7" s="72" t="s">
        <v>554</v>
      </c>
      <c r="D7" s="152" t="s">
        <v>597</v>
      </c>
      <c r="E7" s="22" t="s">
        <v>158</v>
      </c>
      <c r="F7" s="22">
        <v>1</v>
      </c>
      <c r="G7" s="50">
        <v>18101</v>
      </c>
      <c r="H7" s="50">
        <f t="shared" si="0"/>
        <v>18101</v>
      </c>
      <c r="J7" s="46"/>
    </row>
    <row r="8" spans="2:10" x14ac:dyDescent="0.25">
      <c r="B8" s="34">
        <v>5</v>
      </c>
      <c r="C8" s="84" t="s">
        <v>591</v>
      </c>
      <c r="D8" s="57" t="s">
        <v>592</v>
      </c>
      <c r="E8" s="22" t="s">
        <v>574</v>
      </c>
      <c r="F8" s="22">
        <v>1</v>
      </c>
      <c r="G8" s="50">
        <v>944.6</v>
      </c>
      <c r="H8" s="50">
        <f t="shared" si="0"/>
        <v>944.6</v>
      </c>
      <c r="J8" s="46"/>
    </row>
    <row r="9" spans="2:10" x14ac:dyDescent="0.25">
      <c r="B9" s="34">
        <v>6</v>
      </c>
      <c r="C9" s="22"/>
      <c r="D9" s="57" t="s">
        <v>583</v>
      </c>
      <c r="E9" s="22" t="s">
        <v>157</v>
      </c>
      <c r="F9" s="22">
        <v>20</v>
      </c>
      <c r="G9" s="102">
        <v>139</v>
      </c>
      <c r="H9" s="50">
        <f t="shared" si="0"/>
        <v>2780</v>
      </c>
      <c r="J9" s="46"/>
    </row>
    <row r="10" spans="2:10" x14ac:dyDescent="0.25">
      <c r="B10" s="94" t="s">
        <v>74</v>
      </c>
      <c r="C10" s="450" t="s">
        <v>254</v>
      </c>
      <c r="D10" s="450"/>
      <c r="E10" s="450"/>
      <c r="F10" s="450"/>
      <c r="G10" s="450"/>
      <c r="H10" s="242">
        <f>SUM(H4:H9)</f>
        <v>906546.94667716185</v>
      </c>
    </row>
    <row r="11" spans="2:10" x14ac:dyDescent="0.25">
      <c r="B11" s="41" t="s">
        <v>75</v>
      </c>
      <c r="C11" s="446" t="s">
        <v>255</v>
      </c>
      <c r="D11" s="446"/>
      <c r="E11" s="446"/>
      <c r="F11" s="52" t="s">
        <v>227</v>
      </c>
      <c r="G11" s="53">
        <v>0.03</v>
      </c>
      <c r="H11" s="237">
        <f t="shared" ref="H11:H16" si="1">G11*$H$10</f>
        <v>27196.408400314853</v>
      </c>
    </row>
    <row r="12" spans="2:10" x14ac:dyDescent="0.25">
      <c r="B12" s="41" t="s">
        <v>76</v>
      </c>
      <c r="C12" s="446" t="s">
        <v>256</v>
      </c>
      <c r="D12" s="446"/>
      <c r="E12" s="446"/>
      <c r="F12" s="52" t="s">
        <v>227</v>
      </c>
      <c r="G12" s="53">
        <v>0.03</v>
      </c>
      <c r="H12" s="237">
        <f t="shared" si="1"/>
        <v>27196.408400314853</v>
      </c>
    </row>
    <row r="13" spans="2:10" x14ac:dyDescent="0.25">
      <c r="B13" s="41" t="s">
        <v>77</v>
      </c>
      <c r="C13" s="446" t="s">
        <v>257</v>
      </c>
      <c r="D13" s="446"/>
      <c r="E13" s="446"/>
      <c r="F13" s="52" t="s">
        <v>227</v>
      </c>
      <c r="G13" s="53">
        <v>0.03</v>
      </c>
      <c r="H13" s="237">
        <f t="shared" si="1"/>
        <v>27196.408400314853</v>
      </c>
    </row>
    <row r="14" spans="2:10" x14ac:dyDescent="0.25">
      <c r="B14" s="41" t="s">
        <v>78</v>
      </c>
      <c r="C14" s="446" t="s">
        <v>258</v>
      </c>
      <c r="D14" s="446"/>
      <c r="E14" s="446"/>
      <c r="F14" s="52" t="s">
        <v>227</v>
      </c>
      <c r="G14" s="53">
        <v>0.04</v>
      </c>
      <c r="H14" s="237">
        <f t="shared" si="1"/>
        <v>36261.877867086478</v>
      </c>
    </row>
    <row r="15" spans="2:10" x14ac:dyDescent="0.25">
      <c r="B15" s="41" t="s">
        <v>213</v>
      </c>
      <c r="C15" s="446" t="s">
        <v>259</v>
      </c>
      <c r="D15" s="446"/>
      <c r="E15" s="446"/>
      <c r="F15" s="52" t="s">
        <v>227</v>
      </c>
      <c r="G15" s="53">
        <v>0.02</v>
      </c>
      <c r="H15" s="237">
        <f t="shared" si="1"/>
        <v>18130.938933543239</v>
      </c>
    </row>
    <row r="16" spans="2:10" x14ac:dyDescent="0.25">
      <c r="B16" s="41" t="s">
        <v>92</v>
      </c>
      <c r="C16" s="446" t="s">
        <v>260</v>
      </c>
      <c r="D16" s="446"/>
      <c r="E16" s="446"/>
      <c r="F16" s="52" t="s">
        <v>227</v>
      </c>
      <c r="G16" s="53">
        <v>0.1</v>
      </c>
      <c r="H16" s="237">
        <f t="shared" si="1"/>
        <v>90654.69466771619</v>
      </c>
    </row>
    <row r="17" spans="2:8" x14ac:dyDescent="0.25">
      <c r="B17" s="352" t="s">
        <v>93</v>
      </c>
      <c r="C17" s="451" t="s">
        <v>261</v>
      </c>
      <c r="D17" s="452"/>
      <c r="E17" s="453"/>
      <c r="F17" s="457" t="s">
        <v>144</v>
      </c>
      <c r="G17" s="458"/>
      <c r="H17" s="257">
        <f>'UG line labour'!X49</f>
        <v>1085339.2680727541</v>
      </c>
    </row>
    <row r="18" spans="2:8" x14ac:dyDescent="0.25">
      <c r="B18" s="353"/>
      <c r="C18" s="454"/>
      <c r="D18" s="455"/>
      <c r="E18" s="456"/>
      <c r="F18" s="457" t="s">
        <v>145</v>
      </c>
      <c r="G18" s="458"/>
      <c r="H18" s="257">
        <f>'UG line labour'!Y49</f>
        <v>1464839.2680727541</v>
      </c>
    </row>
    <row r="19" spans="2:8" x14ac:dyDescent="0.25">
      <c r="B19" s="331" t="s">
        <v>94</v>
      </c>
      <c r="C19" s="355" t="s">
        <v>262</v>
      </c>
      <c r="D19" s="355"/>
      <c r="E19" s="355"/>
      <c r="F19" s="446" t="s">
        <v>144</v>
      </c>
      <c r="G19" s="446"/>
      <c r="H19" s="258">
        <f>SUM(H10:H17)</f>
        <v>2218522.9514192063</v>
      </c>
    </row>
    <row r="20" spans="2:8" x14ac:dyDescent="0.25">
      <c r="B20" s="331"/>
      <c r="C20" s="355"/>
      <c r="D20" s="355"/>
      <c r="E20" s="355"/>
      <c r="F20" s="446" t="s">
        <v>145</v>
      </c>
      <c r="G20" s="446"/>
      <c r="H20" s="258">
        <f>SUM(H10:H16,H18)</f>
        <v>2598022.9514192063</v>
      </c>
    </row>
  </sheetData>
  <mergeCells count="16">
    <mergeCell ref="D2:H2"/>
    <mergeCell ref="B19:B20"/>
    <mergeCell ref="C19:E20"/>
    <mergeCell ref="F19:G19"/>
    <mergeCell ref="F20:G20"/>
    <mergeCell ref="C15:E15"/>
    <mergeCell ref="C16:E16"/>
    <mergeCell ref="B17:B18"/>
    <mergeCell ref="C17:E18"/>
    <mergeCell ref="F17:G17"/>
    <mergeCell ref="F18:G18"/>
    <mergeCell ref="C14:E14"/>
    <mergeCell ref="C10:G10"/>
    <mergeCell ref="C11:E11"/>
    <mergeCell ref="C12:E12"/>
    <mergeCell ref="C13:E13"/>
  </mergeCells>
  <pageMargins left="0.7" right="0.7" top="0.75" bottom="0.75" header="0.3" footer="0.3"/>
  <pageSetup scale="88"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0"/>
  <sheetViews>
    <sheetView zoomScaleNormal="100" workbookViewId="0"/>
  </sheetViews>
  <sheetFormatPr defaultRowHeight="15" x14ac:dyDescent="0.25"/>
  <cols>
    <col min="2" max="2" width="5.7109375" style="105" bestFit="1" customWidth="1"/>
    <col min="3" max="3" width="5.28515625" customWidth="1"/>
    <col min="4" max="4" width="51" customWidth="1"/>
    <col min="5" max="5" width="4.7109375" style="105" bestFit="1" customWidth="1"/>
    <col min="6" max="6" width="4.28515625" style="105" bestFit="1" customWidth="1"/>
    <col min="7" max="7" width="9.42578125" bestFit="1" customWidth="1"/>
    <col min="8" max="8" width="12.5703125" bestFit="1" customWidth="1"/>
  </cols>
  <sheetData>
    <row r="1" spans="2:10" x14ac:dyDescent="0.25">
      <c r="B1" s="98"/>
      <c r="C1" s="99"/>
      <c r="D1" s="99"/>
      <c r="E1" s="98"/>
      <c r="F1" s="98"/>
      <c r="G1" s="99"/>
      <c r="H1" s="99"/>
    </row>
    <row r="2" spans="2:10" ht="49.5" customHeight="1" x14ac:dyDescent="0.25">
      <c r="C2" s="158"/>
      <c r="D2" s="447" t="s">
        <v>835</v>
      </c>
      <c r="E2" s="448"/>
      <c r="F2" s="448"/>
      <c r="G2" s="448"/>
      <c r="H2" s="449"/>
    </row>
    <row r="3" spans="2:10" ht="25.5" x14ac:dyDescent="0.25">
      <c r="B3" s="100" t="s">
        <v>572</v>
      </c>
      <c r="C3" s="101" t="s">
        <v>229</v>
      </c>
      <c r="D3" s="101" t="s">
        <v>2</v>
      </c>
      <c r="E3" s="100" t="s">
        <v>154</v>
      </c>
      <c r="F3" s="234" t="s">
        <v>107</v>
      </c>
      <c r="G3" s="234" t="s">
        <v>231</v>
      </c>
      <c r="H3" s="234" t="s">
        <v>232</v>
      </c>
    </row>
    <row r="4" spans="2:10" ht="20.25" customHeight="1" x14ac:dyDescent="0.25">
      <c r="B4" s="34">
        <v>1</v>
      </c>
      <c r="C4" s="34" t="s">
        <v>573</v>
      </c>
      <c r="D4" s="233" t="s">
        <v>505</v>
      </c>
      <c r="E4" s="22" t="s">
        <v>574</v>
      </c>
      <c r="F4" s="22">
        <v>2</v>
      </c>
      <c r="G4" s="50">
        <v>1592843.4988363076</v>
      </c>
      <c r="H4" s="50">
        <f t="shared" ref="H4:H9" si="0">F4*G4</f>
        <v>3185686.9976726151</v>
      </c>
      <c r="J4" s="46"/>
    </row>
    <row r="5" spans="2:10" ht="25.5" x14ac:dyDescent="0.25">
      <c r="B5" s="34">
        <v>2</v>
      </c>
      <c r="C5" s="72" t="s">
        <v>575</v>
      </c>
      <c r="D5" s="233" t="s">
        <v>576</v>
      </c>
      <c r="E5" s="22" t="s">
        <v>157</v>
      </c>
      <c r="F5" s="22">
        <v>8</v>
      </c>
      <c r="G5" s="50">
        <v>86681</v>
      </c>
      <c r="H5" s="50">
        <f t="shared" si="0"/>
        <v>693448</v>
      </c>
      <c r="J5" s="46"/>
    </row>
    <row r="6" spans="2:10" ht="25.5" x14ac:dyDescent="0.25">
      <c r="B6" s="34">
        <v>3</v>
      </c>
      <c r="C6" s="72" t="s">
        <v>577</v>
      </c>
      <c r="D6" s="233" t="s">
        <v>578</v>
      </c>
      <c r="E6" s="22" t="s">
        <v>157</v>
      </c>
      <c r="F6" s="22">
        <v>2</v>
      </c>
      <c r="G6" s="50">
        <v>28216</v>
      </c>
      <c r="H6" s="50">
        <f t="shared" si="0"/>
        <v>56432</v>
      </c>
      <c r="J6" s="46"/>
    </row>
    <row r="7" spans="2:10" ht="25.5" x14ac:dyDescent="0.25">
      <c r="B7" s="34">
        <v>4</v>
      </c>
      <c r="C7" s="72" t="s">
        <v>579</v>
      </c>
      <c r="D7" s="233" t="s">
        <v>580</v>
      </c>
      <c r="E7" s="22" t="s">
        <v>157</v>
      </c>
      <c r="F7" s="22">
        <v>2</v>
      </c>
      <c r="G7" s="50">
        <v>45347</v>
      </c>
      <c r="H7" s="50">
        <f t="shared" si="0"/>
        <v>90694</v>
      </c>
      <c r="J7" s="46"/>
    </row>
    <row r="8" spans="2:10" ht="20.25" customHeight="1" x14ac:dyDescent="0.25">
      <c r="B8" s="34">
        <v>5</v>
      </c>
      <c r="C8" s="41" t="s">
        <v>581</v>
      </c>
      <c r="D8" s="57" t="s">
        <v>624</v>
      </c>
      <c r="E8" s="22" t="s">
        <v>574</v>
      </c>
      <c r="F8" s="22">
        <v>2</v>
      </c>
      <c r="G8" s="50">
        <v>1203</v>
      </c>
      <c r="H8" s="50">
        <f t="shared" si="0"/>
        <v>2406</v>
      </c>
      <c r="J8" s="46"/>
    </row>
    <row r="9" spans="2:10" ht="20.25" customHeight="1" x14ac:dyDescent="0.25">
      <c r="B9" s="34">
        <v>6</v>
      </c>
      <c r="C9" s="22"/>
      <c r="D9" s="103" t="s">
        <v>583</v>
      </c>
      <c r="E9" s="22" t="s">
        <v>157</v>
      </c>
      <c r="F9" s="22">
        <v>20</v>
      </c>
      <c r="G9" s="102">
        <v>139</v>
      </c>
      <c r="H9" s="50">
        <f t="shared" si="0"/>
        <v>2780</v>
      </c>
      <c r="J9" s="46"/>
    </row>
    <row r="10" spans="2:10" x14ac:dyDescent="0.25">
      <c r="B10" s="234" t="s">
        <v>74</v>
      </c>
      <c r="C10" s="450" t="s">
        <v>254</v>
      </c>
      <c r="D10" s="450"/>
      <c r="E10" s="450"/>
      <c r="F10" s="450"/>
      <c r="G10" s="450"/>
      <c r="H10" s="242">
        <f>SUM(H4:H9)</f>
        <v>4031446.9976726151</v>
      </c>
    </row>
    <row r="11" spans="2:10" x14ac:dyDescent="0.25">
      <c r="B11" s="41" t="s">
        <v>75</v>
      </c>
      <c r="C11" s="446" t="s">
        <v>255</v>
      </c>
      <c r="D11" s="446"/>
      <c r="E11" s="446"/>
      <c r="F11" s="52" t="s">
        <v>227</v>
      </c>
      <c r="G11" s="53">
        <v>0.03</v>
      </c>
      <c r="H11" s="237">
        <f t="shared" ref="H11:H16" si="1">G11*$H$10</f>
        <v>120943.40993017844</v>
      </c>
    </row>
    <row r="12" spans="2:10" x14ac:dyDescent="0.25">
      <c r="B12" s="41" t="s">
        <v>76</v>
      </c>
      <c r="C12" s="446" t="s">
        <v>256</v>
      </c>
      <c r="D12" s="446"/>
      <c r="E12" s="446"/>
      <c r="F12" s="52" t="s">
        <v>227</v>
      </c>
      <c r="G12" s="53">
        <v>0.03</v>
      </c>
      <c r="H12" s="237">
        <f t="shared" si="1"/>
        <v>120943.40993017844</v>
      </c>
    </row>
    <row r="13" spans="2:10" x14ac:dyDescent="0.25">
      <c r="B13" s="41" t="s">
        <v>77</v>
      </c>
      <c r="C13" s="446" t="s">
        <v>257</v>
      </c>
      <c r="D13" s="446"/>
      <c r="E13" s="446"/>
      <c r="F13" s="52" t="s">
        <v>227</v>
      </c>
      <c r="G13" s="53">
        <v>0.03</v>
      </c>
      <c r="H13" s="237">
        <f t="shared" si="1"/>
        <v>120943.40993017844</v>
      </c>
    </row>
    <row r="14" spans="2:10" x14ac:dyDescent="0.25">
      <c r="B14" s="41" t="s">
        <v>78</v>
      </c>
      <c r="C14" s="446" t="s">
        <v>258</v>
      </c>
      <c r="D14" s="446"/>
      <c r="E14" s="446"/>
      <c r="F14" s="52" t="s">
        <v>227</v>
      </c>
      <c r="G14" s="53">
        <v>0.04</v>
      </c>
      <c r="H14" s="237">
        <f t="shared" si="1"/>
        <v>161257.87990690462</v>
      </c>
    </row>
    <row r="15" spans="2:10" x14ac:dyDescent="0.25">
      <c r="B15" s="41" t="s">
        <v>213</v>
      </c>
      <c r="C15" s="446" t="s">
        <v>259</v>
      </c>
      <c r="D15" s="446"/>
      <c r="E15" s="446"/>
      <c r="F15" s="52" t="s">
        <v>227</v>
      </c>
      <c r="G15" s="53">
        <v>0.02</v>
      </c>
      <c r="H15" s="237">
        <f t="shared" si="1"/>
        <v>80628.939953452311</v>
      </c>
    </row>
    <row r="16" spans="2:10" x14ac:dyDescent="0.25">
      <c r="B16" s="41" t="s">
        <v>92</v>
      </c>
      <c r="C16" s="446" t="s">
        <v>260</v>
      </c>
      <c r="D16" s="446"/>
      <c r="E16" s="446"/>
      <c r="F16" s="52" t="s">
        <v>227</v>
      </c>
      <c r="G16" s="53">
        <v>0.1</v>
      </c>
      <c r="H16" s="237">
        <f t="shared" si="1"/>
        <v>403144.69976726151</v>
      </c>
    </row>
    <row r="17" spans="2:8" x14ac:dyDescent="0.25">
      <c r="B17" s="352" t="s">
        <v>93</v>
      </c>
      <c r="C17" s="451" t="s">
        <v>261</v>
      </c>
      <c r="D17" s="452"/>
      <c r="E17" s="453"/>
      <c r="F17" s="457" t="s">
        <v>144</v>
      </c>
      <c r="G17" s="458"/>
      <c r="H17" s="257">
        <f>'UG line labour'!AA49</f>
        <v>481204.99920437235</v>
      </c>
    </row>
    <row r="18" spans="2:8" x14ac:dyDescent="0.25">
      <c r="B18" s="353"/>
      <c r="C18" s="454"/>
      <c r="D18" s="455"/>
      <c r="E18" s="456"/>
      <c r="F18" s="457" t="s">
        <v>145</v>
      </c>
      <c r="G18" s="458"/>
      <c r="H18" s="257">
        <f>'UG line labour'!AB49</f>
        <v>510004.99920437235</v>
      </c>
    </row>
    <row r="19" spans="2:8" x14ac:dyDescent="0.25">
      <c r="B19" s="331" t="s">
        <v>94</v>
      </c>
      <c r="C19" s="355" t="s">
        <v>262</v>
      </c>
      <c r="D19" s="355"/>
      <c r="E19" s="355"/>
      <c r="F19" s="446" t="s">
        <v>144</v>
      </c>
      <c r="G19" s="446"/>
      <c r="H19" s="258">
        <f>SUM(H10:H17)</f>
        <v>5520513.746295142</v>
      </c>
    </row>
    <row r="20" spans="2:8" x14ac:dyDescent="0.25">
      <c r="B20" s="331"/>
      <c r="C20" s="355"/>
      <c r="D20" s="355"/>
      <c r="E20" s="355"/>
      <c r="F20" s="446" t="s">
        <v>145</v>
      </c>
      <c r="G20" s="446"/>
      <c r="H20" s="258">
        <f>SUM(H10:H16,H18)</f>
        <v>5549313.746295142</v>
      </c>
    </row>
  </sheetData>
  <mergeCells count="16">
    <mergeCell ref="B19:B20"/>
    <mergeCell ref="C19:E20"/>
    <mergeCell ref="F19:G19"/>
    <mergeCell ref="F20:G20"/>
    <mergeCell ref="C15:E15"/>
    <mergeCell ref="C16:E16"/>
    <mergeCell ref="B17:B18"/>
    <mergeCell ref="C17:E18"/>
    <mergeCell ref="F17:G17"/>
    <mergeCell ref="F18:G18"/>
    <mergeCell ref="C14:E14"/>
    <mergeCell ref="D2:H2"/>
    <mergeCell ref="C10:G10"/>
    <mergeCell ref="C11:E11"/>
    <mergeCell ref="C12:E12"/>
    <mergeCell ref="C13:E13"/>
  </mergeCells>
  <pageMargins left="0.7" right="0.7" top="0.75" bottom="0.75" header="0.3" footer="0.3"/>
  <pageSetup scale="88"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0"/>
  <sheetViews>
    <sheetView zoomScaleNormal="100" workbookViewId="0"/>
  </sheetViews>
  <sheetFormatPr defaultRowHeight="15" x14ac:dyDescent="0.25"/>
  <cols>
    <col min="2" max="2" width="5.7109375" style="105" bestFit="1" customWidth="1"/>
    <col min="3" max="3" width="5.42578125" bestFit="1" customWidth="1"/>
    <col min="4" max="4" width="51" customWidth="1"/>
    <col min="5" max="5" width="4.7109375" style="105" bestFit="1" customWidth="1"/>
    <col min="6" max="6" width="4.28515625" style="105" bestFit="1" customWidth="1"/>
    <col min="7" max="7" width="9.42578125" bestFit="1" customWidth="1"/>
    <col min="8" max="8" width="12.5703125" bestFit="1" customWidth="1"/>
  </cols>
  <sheetData>
    <row r="1" spans="2:10" x14ac:dyDescent="0.25">
      <c r="B1" s="98"/>
      <c r="C1" s="99"/>
      <c r="D1" s="99"/>
      <c r="E1" s="98"/>
      <c r="F1" s="98"/>
      <c r="G1" s="99"/>
      <c r="H1" s="99"/>
    </row>
    <row r="2" spans="2:10" ht="49.5" customHeight="1" x14ac:dyDescent="0.25">
      <c r="C2" s="158"/>
      <c r="D2" s="447" t="s">
        <v>836</v>
      </c>
      <c r="E2" s="448"/>
      <c r="F2" s="448"/>
      <c r="G2" s="448"/>
      <c r="H2" s="449"/>
    </row>
    <row r="3" spans="2:10" ht="25.5" x14ac:dyDescent="0.25">
      <c r="B3" s="100" t="s">
        <v>572</v>
      </c>
      <c r="C3" s="101" t="s">
        <v>229</v>
      </c>
      <c r="D3" s="101" t="s">
        <v>2</v>
      </c>
      <c r="E3" s="100" t="s">
        <v>154</v>
      </c>
      <c r="F3" s="234" t="s">
        <v>107</v>
      </c>
      <c r="G3" s="234" t="s">
        <v>231</v>
      </c>
      <c r="H3" s="234" t="s">
        <v>232</v>
      </c>
    </row>
    <row r="4" spans="2:10" x14ac:dyDescent="0.25">
      <c r="B4" s="34">
        <v>1</v>
      </c>
      <c r="C4" s="34" t="s">
        <v>584</v>
      </c>
      <c r="D4" s="233" t="s">
        <v>506</v>
      </c>
      <c r="E4" s="22" t="s">
        <v>574</v>
      </c>
      <c r="F4" s="22">
        <v>2</v>
      </c>
      <c r="G4" s="50">
        <v>1249884.4874210353</v>
      </c>
      <c r="H4" s="50">
        <f t="shared" ref="H4:H9" si="0">F4*G4</f>
        <v>2499768.9748420706</v>
      </c>
      <c r="J4" s="46"/>
    </row>
    <row r="5" spans="2:10" ht="25.5" x14ac:dyDescent="0.25">
      <c r="B5" s="34">
        <v>2</v>
      </c>
      <c r="C5" s="72" t="s">
        <v>585</v>
      </c>
      <c r="D5" s="233" t="s">
        <v>586</v>
      </c>
      <c r="E5" s="22" t="s">
        <v>157</v>
      </c>
      <c r="F5" s="22">
        <v>8</v>
      </c>
      <c r="G5" s="50">
        <v>86681</v>
      </c>
      <c r="H5" s="50">
        <f t="shared" si="0"/>
        <v>693448</v>
      </c>
      <c r="J5" s="46"/>
    </row>
    <row r="6" spans="2:10" ht="25.5" x14ac:dyDescent="0.25">
      <c r="B6" s="34">
        <v>3</v>
      </c>
      <c r="C6" s="41" t="s">
        <v>587</v>
      </c>
      <c r="D6" s="233" t="s">
        <v>588</v>
      </c>
      <c r="E6" s="22" t="s">
        <v>157</v>
      </c>
      <c r="F6" s="22">
        <v>2</v>
      </c>
      <c r="G6" s="50">
        <v>24884</v>
      </c>
      <c r="H6" s="50">
        <f t="shared" si="0"/>
        <v>49768</v>
      </c>
      <c r="J6" s="46"/>
    </row>
    <row r="7" spans="2:10" ht="25.5" x14ac:dyDescent="0.25">
      <c r="B7" s="34">
        <v>4</v>
      </c>
      <c r="C7" s="41" t="s">
        <v>589</v>
      </c>
      <c r="D7" s="233" t="s">
        <v>590</v>
      </c>
      <c r="E7" s="22" t="s">
        <v>157</v>
      </c>
      <c r="F7" s="22">
        <v>2</v>
      </c>
      <c r="G7" s="50">
        <v>34261</v>
      </c>
      <c r="H7" s="50">
        <f t="shared" si="0"/>
        <v>68522</v>
      </c>
      <c r="J7" s="46"/>
    </row>
    <row r="8" spans="2:10" x14ac:dyDescent="0.25">
      <c r="B8" s="34">
        <v>5</v>
      </c>
      <c r="C8" s="84" t="s">
        <v>591</v>
      </c>
      <c r="D8" s="57" t="s">
        <v>592</v>
      </c>
      <c r="E8" s="22" t="s">
        <v>574</v>
      </c>
      <c r="F8" s="22">
        <v>2</v>
      </c>
      <c r="G8" s="50">
        <v>944.6</v>
      </c>
      <c r="H8" s="50">
        <f t="shared" si="0"/>
        <v>1889.2</v>
      </c>
      <c r="J8" s="46"/>
    </row>
    <row r="9" spans="2:10" x14ac:dyDescent="0.25">
      <c r="B9" s="34">
        <v>6</v>
      </c>
      <c r="C9" s="22"/>
      <c r="D9" s="103" t="s">
        <v>583</v>
      </c>
      <c r="E9" s="22" t="s">
        <v>157</v>
      </c>
      <c r="F9" s="22">
        <v>20</v>
      </c>
      <c r="G9" s="102">
        <v>139</v>
      </c>
      <c r="H9" s="50">
        <f t="shared" si="0"/>
        <v>2780</v>
      </c>
      <c r="J9" s="46"/>
    </row>
    <row r="10" spans="2:10" x14ac:dyDescent="0.25">
      <c r="B10" s="234" t="s">
        <v>74</v>
      </c>
      <c r="C10" s="450" t="s">
        <v>254</v>
      </c>
      <c r="D10" s="450"/>
      <c r="E10" s="450"/>
      <c r="F10" s="450"/>
      <c r="G10" s="450"/>
      <c r="H10" s="242">
        <f>SUM(H4:H9)</f>
        <v>3316176.1748420708</v>
      </c>
    </row>
    <row r="11" spans="2:10" x14ac:dyDescent="0.25">
      <c r="B11" s="41" t="s">
        <v>75</v>
      </c>
      <c r="C11" s="446" t="s">
        <v>255</v>
      </c>
      <c r="D11" s="446"/>
      <c r="E11" s="446"/>
      <c r="F11" s="52" t="s">
        <v>227</v>
      </c>
      <c r="G11" s="53">
        <v>0.03</v>
      </c>
      <c r="H11" s="237">
        <f t="shared" ref="H11:H16" si="1">G11*$H$10</f>
        <v>99485.285245262115</v>
      </c>
    </row>
    <row r="12" spans="2:10" x14ac:dyDescent="0.25">
      <c r="B12" s="41" t="s">
        <v>76</v>
      </c>
      <c r="C12" s="446" t="s">
        <v>256</v>
      </c>
      <c r="D12" s="446"/>
      <c r="E12" s="446"/>
      <c r="F12" s="52" t="s">
        <v>227</v>
      </c>
      <c r="G12" s="53">
        <v>0.03</v>
      </c>
      <c r="H12" s="237">
        <f t="shared" si="1"/>
        <v>99485.285245262115</v>
      </c>
    </row>
    <row r="13" spans="2:10" x14ac:dyDescent="0.25">
      <c r="B13" s="41" t="s">
        <v>77</v>
      </c>
      <c r="C13" s="446" t="s">
        <v>257</v>
      </c>
      <c r="D13" s="446"/>
      <c r="E13" s="446"/>
      <c r="F13" s="52" t="s">
        <v>227</v>
      </c>
      <c r="G13" s="53">
        <v>0.03</v>
      </c>
      <c r="H13" s="237">
        <f t="shared" si="1"/>
        <v>99485.285245262115</v>
      </c>
    </row>
    <row r="14" spans="2:10" x14ac:dyDescent="0.25">
      <c r="B14" s="41" t="s">
        <v>78</v>
      </c>
      <c r="C14" s="446" t="s">
        <v>258</v>
      </c>
      <c r="D14" s="446"/>
      <c r="E14" s="446"/>
      <c r="F14" s="52" t="s">
        <v>227</v>
      </c>
      <c r="G14" s="53">
        <v>0.04</v>
      </c>
      <c r="H14" s="237">
        <f t="shared" si="1"/>
        <v>132647.04699368283</v>
      </c>
    </row>
    <row r="15" spans="2:10" x14ac:dyDescent="0.25">
      <c r="B15" s="41" t="s">
        <v>213</v>
      </c>
      <c r="C15" s="446" t="s">
        <v>259</v>
      </c>
      <c r="D15" s="446"/>
      <c r="E15" s="446"/>
      <c r="F15" s="52" t="s">
        <v>227</v>
      </c>
      <c r="G15" s="53">
        <v>0.02</v>
      </c>
      <c r="H15" s="237">
        <f t="shared" si="1"/>
        <v>66323.523496841415</v>
      </c>
    </row>
    <row r="16" spans="2:10" x14ac:dyDescent="0.25">
      <c r="B16" s="41" t="s">
        <v>92</v>
      </c>
      <c r="C16" s="446" t="s">
        <v>260</v>
      </c>
      <c r="D16" s="446"/>
      <c r="E16" s="446"/>
      <c r="F16" s="52" t="s">
        <v>227</v>
      </c>
      <c r="G16" s="53">
        <v>0.1</v>
      </c>
      <c r="H16" s="237">
        <f t="shared" si="1"/>
        <v>331617.61748420709</v>
      </c>
    </row>
    <row r="17" spans="2:8" x14ac:dyDescent="0.25">
      <c r="B17" s="352" t="s">
        <v>93</v>
      </c>
      <c r="C17" s="451" t="s">
        <v>261</v>
      </c>
      <c r="D17" s="452"/>
      <c r="E17" s="453"/>
      <c r="F17" s="457" t="s">
        <v>144</v>
      </c>
      <c r="G17" s="458"/>
      <c r="H17" s="257">
        <f>'UG line labour'!AD49</f>
        <v>465503.89660312491</v>
      </c>
    </row>
    <row r="18" spans="2:8" x14ac:dyDescent="0.25">
      <c r="B18" s="353"/>
      <c r="C18" s="454"/>
      <c r="D18" s="455"/>
      <c r="E18" s="456"/>
      <c r="F18" s="457" t="s">
        <v>145</v>
      </c>
      <c r="G18" s="458"/>
      <c r="H18" s="257">
        <f>'UG line labour'!AE49</f>
        <v>494303.89660312491</v>
      </c>
    </row>
    <row r="19" spans="2:8" x14ac:dyDescent="0.25">
      <c r="B19" s="331" t="s">
        <v>94</v>
      </c>
      <c r="C19" s="355" t="s">
        <v>262</v>
      </c>
      <c r="D19" s="355"/>
      <c r="E19" s="355"/>
      <c r="F19" s="446" t="s">
        <v>144</v>
      </c>
      <c r="G19" s="446"/>
      <c r="H19" s="258">
        <f>SUM(H10:H17)</f>
        <v>4610724.1151557136</v>
      </c>
    </row>
    <row r="20" spans="2:8" x14ac:dyDescent="0.25">
      <c r="B20" s="331"/>
      <c r="C20" s="355"/>
      <c r="D20" s="355"/>
      <c r="E20" s="355"/>
      <c r="F20" s="446" t="s">
        <v>145</v>
      </c>
      <c r="G20" s="446"/>
      <c r="H20" s="258">
        <f>SUM(H10:H16,H18)</f>
        <v>4639524.1151557136</v>
      </c>
    </row>
  </sheetData>
  <mergeCells count="16">
    <mergeCell ref="B19:B20"/>
    <mergeCell ref="C19:E20"/>
    <mergeCell ref="F19:G19"/>
    <mergeCell ref="F20:G20"/>
    <mergeCell ref="C15:E15"/>
    <mergeCell ref="C16:E16"/>
    <mergeCell ref="B17:B18"/>
    <mergeCell ref="C17:E18"/>
    <mergeCell ref="F17:G17"/>
    <mergeCell ref="F18:G18"/>
    <mergeCell ref="C14:E14"/>
    <mergeCell ref="D2:H2"/>
    <mergeCell ref="C10:G10"/>
    <mergeCell ref="C11:E11"/>
    <mergeCell ref="C12:E12"/>
    <mergeCell ref="C13:E13"/>
  </mergeCells>
  <pageMargins left="0.7" right="0.7" top="0.75" bottom="0.75" header="0.3" footer="0.3"/>
  <pageSetup scale="97"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0"/>
  <sheetViews>
    <sheetView zoomScaleNormal="100" workbookViewId="0"/>
  </sheetViews>
  <sheetFormatPr defaultRowHeight="15" x14ac:dyDescent="0.25"/>
  <cols>
    <col min="2" max="2" width="5.7109375" style="105" bestFit="1" customWidth="1"/>
    <col min="3" max="3" width="5.42578125" customWidth="1"/>
    <col min="4" max="4" width="51" customWidth="1"/>
    <col min="5" max="5" width="4.7109375" style="105" bestFit="1" customWidth="1"/>
    <col min="6" max="6" width="4.28515625" style="105" bestFit="1" customWidth="1"/>
    <col min="7" max="7" width="10.42578125" bestFit="1" customWidth="1"/>
    <col min="8" max="8" width="12.5703125" bestFit="1" customWidth="1"/>
  </cols>
  <sheetData>
    <row r="1" spans="2:10" x14ac:dyDescent="0.25">
      <c r="B1" s="98"/>
      <c r="C1" s="99"/>
      <c r="D1" s="99"/>
      <c r="E1" s="98"/>
      <c r="F1" s="98"/>
      <c r="G1" s="99"/>
      <c r="H1" s="99"/>
    </row>
    <row r="2" spans="2:10" ht="49.5" customHeight="1" x14ac:dyDescent="0.25">
      <c r="C2" s="95"/>
      <c r="D2" s="447" t="s">
        <v>837</v>
      </c>
      <c r="E2" s="448"/>
      <c r="F2" s="448"/>
      <c r="G2" s="448"/>
      <c r="H2" s="449"/>
    </row>
    <row r="3" spans="2:10" ht="25.5" x14ac:dyDescent="0.25">
      <c r="B3" s="100" t="s">
        <v>572</v>
      </c>
      <c r="C3" s="101" t="s">
        <v>229</v>
      </c>
      <c r="D3" s="101" t="s">
        <v>2</v>
      </c>
      <c r="E3" s="100" t="s">
        <v>154</v>
      </c>
      <c r="F3" s="234" t="s">
        <v>107</v>
      </c>
      <c r="G3" s="234" t="s">
        <v>231</v>
      </c>
      <c r="H3" s="234" t="s">
        <v>232</v>
      </c>
    </row>
    <row r="4" spans="2:10" x14ac:dyDescent="0.25">
      <c r="B4" s="34">
        <v>1</v>
      </c>
      <c r="C4" s="34" t="s">
        <v>544</v>
      </c>
      <c r="D4" s="233" t="s">
        <v>545</v>
      </c>
      <c r="E4" s="22" t="s">
        <v>574</v>
      </c>
      <c r="F4" s="22">
        <v>2</v>
      </c>
      <c r="G4" s="237">
        <v>1072644.5518947488</v>
      </c>
      <c r="H4" s="237">
        <f t="shared" ref="H4:H9" si="0">F4*G4</f>
        <v>2145289.1037894976</v>
      </c>
      <c r="J4" s="46"/>
    </row>
    <row r="5" spans="2:10" ht="25.5" x14ac:dyDescent="0.25">
      <c r="B5" s="34">
        <v>2</v>
      </c>
      <c r="C5" s="72" t="s">
        <v>593</v>
      </c>
      <c r="D5" s="233" t="s">
        <v>594</v>
      </c>
      <c r="E5" s="22" t="s">
        <v>157</v>
      </c>
      <c r="F5" s="22">
        <v>8</v>
      </c>
      <c r="G5" s="50">
        <v>10773</v>
      </c>
      <c r="H5" s="50">
        <f t="shared" si="0"/>
        <v>86184</v>
      </c>
      <c r="J5" s="46"/>
    </row>
    <row r="6" spans="2:10" ht="25.5" x14ac:dyDescent="0.25">
      <c r="B6" s="34">
        <v>3</v>
      </c>
      <c r="C6" s="72" t="s">
        <v>548</v>
      </c>
      <c r="D6" s="233" t="s">
        <v>549</v>
      </c>
      <c r="E6" s="22" t="s">
        <v>157</v>
      </c>
      <c r="F6" s="22">
        <v>2</v>
      </c>
      <c r="G6" s="50">
        <v>11460</v>
      </c>
      <c r="H6" s="50">
        <f t="shared" si="0"/>
        <v>22920</v>
      </c>
      <c r="J6" s="46"/>
    </row>
    <row r="7" spans="2:10" ht="25.5" x14ac:dyDescent="0.25">
      <c r="B7" s="34">
        <v>4</v>
      </c>
      <c r="C7" s="72" t="s">
        <v>550</v>
      </c>
      <c r="D7" s="233" t="s">
        <v>551</v>
      </c>
      <c r="E7" s="22" t="s">
        <v>157</v>
      </c>
      <c r="F7" s="22">
        <v>2</v>
      </c>
      <c r="G7" s="50">
        <v>20602</v>
      </c>
      <c r="H7" s="50">
        <f t="shared" si="0"/>
        <v>41204</v>
      </c>
      <c r="J7" s="46"/>
    </row>
    <row r="8" spans="2:10" x14ac:dyDescent="0.25">
      <c r="B8" s="34">
        <v>5</v>
      </c>
      <c r="C8" s="41" t="s">
        <v>581</v>
      </c>
      <c r="D8" s="57" t="s">
        <v>582</v>
      </c>
      <c r="E8" s="22" t="s">
        <v>574</v>
      </c>
      <c r="F8" s="22">
        <v>2</v>
      </c>
      <c r="G8" s="50">
        <v>1203</v>
      </c>
      <c r="H8" s="50">
        <f t="shared" si="0"/>
        <v>2406</v>
      </c>
      <c r="J8" s="46"/>
    </row>
    <row r="9" spans="2:10" x14ac:dyDescent="0.25">
      <c r="B9" s="34">
        <v>6</v>
      </c>
      <c r="C9" s="22"/>
      <c r="D9" s="103" t="s">
        <v>583</v>
      </c>
      <c r="E9" s="22" t="s">
        <v>157</v>
      </c>
      <c r="F9" s="22">
        <v>20</v>
      </c>
      <c r="G9" s="102">
        <v>139</v>
      </c>
      <c r="H9" s="50">
        <f t="shared" si="0"/>
        <v>2780</v>
      </c>
      <c r="J9" s="46"/>
    </row>
    <row r="10" spans="2:10" x14ac:dyDescent="0.25">
      <c r="B10" s="234" t="s">
        <v>74</v>
      </c>
      <c r="C10" s="450" t="s">
        <v>254</v>
      </c>
      <c r="D10" s="450"/>
      <c r="E10" s="450"/>
      <c r="F10" s="450"/>
      <c r="G10" s="450"/>
      <c r="H10" s="242">
        <f>SUM(H4:H9)</f>
        <v>2300783.1037894976</v>
      </c>
    </row>
    <row r="11" spans="2:10" x14ac:dyDescent="0.25">
      <c r="B11" s="41" t="s">
        <v>75</v>
      </c>
      <c r="C11" s="446" t="s">
        <v>255</v>
      </c>
      <c r="D11" s="446"/>
      <c r="E11" s="446"/>
      <c r="F11" s="52" t="s">
        <v>227</v>
      </c>
      <c r="G11" s="53">
        <v>0.03</v>
      </c>
      <c r="H11" s="237">
        <f t="shared" ref="H11:H16" si="1">G11*$H$10</f>
        <v>69023.493113684934</v>
      </c>
    </row>
    <row r="12" spans="2:10" x14ac:dyDescent="0.25">
      <c r="B12" s="41" t="s">
        <v>76</v>
      </c>
      <c r="C12" s="446" t="s">
        <v>256</v>
      </c>
      <c r="D12" s="446"/>
      <c r="E12" s="446"/>
      <c r="F12" s="52" t="s">
        <v>227</v>
      </c>
      <c r="G12" s="53">
        <v>0.03</v>
      </c>
      <c r="H12" s="237">
        <f t="shared" si="1"/>
        <v>69023.493113684934</v>
      </c>
    </row>
    <row r="13" spans="2:10" x14ac:dyDescent="0.25">
      <c r="B13" s="41" t="s">
        <v>77</v>
      </c>
      <c r="C13" s="446" t="s">
        <v>257</v>
      </c>
      <c r="D13" s="446"/>
      <c r="E13" s="446"/>
      <c r="F13" s="52" t="s">
        <v>227</v>
      </c>
      <c r="G13" s="53">
        <v>0.03</v>
      </c>
      <c r="H13" s="237">
        <f t="shared" si="1"/>
        <v>69023.493113684934</v>
      </c>
    </row>
    <row r="14" spans="2:10" x14ac:dyDescent="0.25">
      <c r="B14" s="41" t="s">
        <v>78</v>
      </c>
      <c r="C14" s="446" t="s">
        <v>258</v>
      </c>
      <c r="D14" s="446"/>
      <c r="E14" s="446"/>
      <c r="F14" s="52" t="s">
        <v>227</v>
      </c>
      <c r="G14" s="53">
        <v>0.04</v>
      </c>
      <c r="H14" s="237">
        <f t="shared" si="1"/>
        <v>92031.324151579902</v>
      </c>
    </row>
    <row r="15" spans="2:10" x14ac:dyDescent="0.25">
      <c r="B15" s="41" t="s">
        <v>213</v>
      </c>
      <c r="C15" s="446" t="s">
        <v>259</v>
      </c>
      <c r="D15" s="446"/>
      <c r="E15" s="446"/>
      <c r="F15" s="52" t="s">
        <v>227</v>
      </c>
      <c r="G15" s="53">
        <v>0.02</v>
      </c>
      <c r="H15" s="237">
        <f t="shared" si="1"/>
        <v>46015.662075789951</v>
      </c>
    </row>
    <row r="16" spans="2:10" x14ac:dyDescent="0.25">
      <c r="B16" s="41" t="s">
        <v>92</v>
      </c>
      <c r="C16" s="446" t="s">
        <v>260</v>
      </c>
      <c r="D16" s="446"/>
      <c r="E16" s="446"/>
      <c r="F16" s="52" t="s">
        <v>227</v>
      </c>
      <c r="G16" s="53">
        <v>0.1</v>
      </c>
      <c r="H16" s="237">
        <f t="shared" si="1"/>
        <v>230078.31037894977</v>
      </c>
    </row>
    <row r="17" spans="2:8" x14ac:dyDescent="0.25">
      <c r="B17" s="352" t="s">
        <v>93</v>
      </c>
      <c r="C17" s="451" t="s">
        <v>261</v>
      </c>
      <c r="D17" s="452"/>
      <c r="E17" s="453"/>
      <c r="F17" s="457" t="s">
        <v>144</v>
      </c>
      <c r="G17" s="458"/>
      <c r="H17" s="257">
        <f>'UG line labour'!AG49</f>
        <v>450235.90639688179</v>
      </c>
    </row>
    <row r="18" spans="2:8" x14ac:dyDescent="0.25">
      <c r="B18" s="353"/>
      <c r="C18" s="454"/>
      <c r="D18" s="455"/>
      <c r="E18" s="456"/>
      <c r="F18" s="457" t="s">
        <v>145</v>
      </c>
      <c r="G18" s="458"/>
      <c r="H18" s="257">
        <f>'UG line labour'!AH49</f>
        <v>479035.90639688179</v>
      </c>
    </row>
    <row r="19" spans="2:8" x14ac:dyDescent="0.25">
      <c r="B19" s="331" t="s">
        <v>94</v>
      </c>
      <c r="C19" s="355" t="s">
        <v>262</v>
      </c>
      <c r="D19" s="355"/>
      <c r="E19" s="355"/>
      <c r="F19" s="446" t="s">
        <v>144</v>
      </c>
      <c r="G19" s="446"/>
      <c r="H19" s="258">
        <f>SUM(H10:H17)</f>
        <v>3326214.7861337536</v>
      </c>
    </row>
    <row r="20" spans="2:8" x14ac:dyDescent="0.25">
      <c r="B20" s="331"/>
      <c r="C20" s="355"/>
      <c r="D20" s="355"/>
      <c r="E20" s="355"/>
      <c r="F20" s="446" t="s">
        <v>145</v>
      </c>
      <c r="G20" s="446"/>
      <c r="H20" s="258">
        <f>SUM(H10:H16,H18)</f>
        <v>3355014.7861337536</v>
      </c>
    </row>
  </sheetData>
  <mergeCells count="16">
    <mergeCell ref="B19:B20"/>
    <mergeCell ref="C19:E20"/>
    <mergeCell ref="F19:G19"/>
    <mergeCell ref="F20:G20"/>
    <mergeCell ref="C15:E15"/>
    <mergeCell ref="C16:E16"/>
    <mergeCell ref="B17:B18"/>
    <mergeCell ref="C17:E18"/>
    <mergeCell ref="F17:G17"/>
    <mergeCell ref="F18:G18"/>
    <mergeCell ref="C14:E14"/>
    <mergeCell ref="D2:H2"/>
    <mergeCell ref="C10:G10"/>
    <mergeCell ref="C11:E11"/>
    <mergeCell ref="C12:E12"/>
    <mergeCell ref="C13:E13"/>
  </mergeCells>
  <pageMargins left="0.7" right="0.7" top="0.75" bottom="0.75" header="0.3" footer="0.3"/>
  <pageSetup scale="97"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0"/>
  <sheetViews>
    <sheetView zoomScaleNormal="100" workbookViewId="0"/>
  </sheetViews>
  <sheetFormatPr defaultRowHeight="15" x14ac:dyDescent="0.25"/>
  <cols>
    <col min="2" max="2" width="5.5703125" style="105" customWidth="1"/>
    <col min="3" max="3" width="5.5703125" customWidth="1"/>
    <col min="4" max="4" width="51" customWidth="1"/>
    <col min="5" max="5" width="4.7109375" style="105" bestFit="1" customWidth="1"/>
    <col min="6" max="6" width="4.28515625" style="105" bestFit="1" customWidth="1"/>
    <col min="7" max="7" width="9.42578125" bestFit="1" customWidth="1"/>
    <col min="8" max="8" width="12.5703125" bestFit="1" customWidth="1"/>
  </cols>
  <sheetData>
    <row r="1" spans="2:10" x14ac:dyDescent="0.25">
      <c r="B1" s="98"/>
      <c r="C1" s="99"/>
      <c r="D1" s="99"/>
      <c r="E1" s="98"/>
      <c r="F1" s="98"/>
      <c r="G1" s="99"/>
      <c r="H1" s="99"/>
    </row>
    <row r="2" spans="2:10" ht="49.5" customHeight="1" x14ac:dyDescent="0.25">
      <c r="C2" s="158"/>
      <c r="D2" s="447" t="s">
        <v>838</v>
      </c>
      <c r="E2" s="448"/>
      <c r="F2" s="448"/>
      <c r="G2" s="448"/>
      <c r="H2" s="449"/>
    </row>
    <row r="3" spans="2:10" ht="25.5" x14ac:dyDescent="0.25">
      <c r="B3" s="100" t="s">
        <v>572</v>
      </c>
      <c r="C3" s="101" t="s">
        <v>229</v>
      </c>
      <c r="D3" s="101" t="s">
        <v>2</v>
      </c>
      <c r="E3" s="100" t="s">
        <v>154</v>
      </c>
      <c r="F3" s="234" t="s">
        <v>107</v>
      </c>
      <c r="G3" s="234" t="s">
        <v>231</v>
      </c>
      <c r="H3" s="234" t="s">
        <v>232</v>
      </c>
    </row>
    <row r="4" spans="2:10" x14ac:dyDescent="0.25">
      <c r="B4" s="34">
        <v>1</v>
      </c>
      <c r="C4" s="34" t="s">
        <v>546</v>
      </c>
      <c r="D4" s="233" t="s">
        <v>547</v>
      </c>
      <c r="E4" s="41" t="s">
        <v>574</v>
      </c>
      <c r="F4" s="22">
        <v>2</v>
      </c>
      <c r="G4" s="237">
        <v>830169.34667716187</v>
      </c>
      <c r="H4" s="237">
        <f t="shared" ref="H4:H9" si="0">F4*G4</f>
        <v>1660338.6933543237</v>
      </c>
      <c r="J4" s="46"/>
    </row>
    <row r="5" spans="2:10" ht="25.5" x14ac:dyDescent="0.25">
      <c r="B5" s="34">
        <v>2</v>
      </c>
      <c r="C5" s="72" t="s">
        <v>595</v>
      </c>
      <c r="D5" s="233" t="s">
        <v>596</v>
      </c>
      <c r="E5" s="22" t="s">
        <v>157</v>
      </c>
      <c r="F5" s="22">
        <v>8</v>
      </c>
      <c r="G5" s="50">
        <v>10773</v>
      </c>
      <c r="H5" s="50">
        <f t="shared" si="0"/>
        <v>86184</v>
      </c>
      <c r="J5" s="46"/>
    </row>
    <row r="6" spans="2:10" ht="25.5" x14ac:dyDescent="0.25">
      <c r="B6" s="34">
        <v>3</v>
      </c>
      <c r="C6" s="72" t="s">
        <v>552</v>
      </c>
      <c r="D6" s="233" t="s">
        <v>553</v>
      </c>
      <c r="E6" s="22" t="s">
        <v>157</v>
      </c>
      <c r="F6" s="22">
        <v>2</v>
      </c>
      <c r="G6" s="50">
        <v>11460</v>
      </c>
      <c r="H6" s="50">
        <f t="shared" si="0"/>
        <v>22920</v>
      </c>
      <c r="J6" s="46"/>
    </row>
    <row r="7" spans="2:10" ht="25.5" x14ac:dyDescent="0.25">
      <c r="B7" s="34">
        <v>4</v>
      </c>
      <c r="C7" s="72" t="s">
        <v>554</v>
      </c>
      <c r="D7" s="233" t="s">
        <v>597</v>
      </c>
      <c r="E7" s="22" t="s">
        <v>157</v>
      </c>
      <c r="F7" s="22">
        <v>2</v>
      </c>
      <c r="G7" s="50">
        <v>18101</v>
      </c>
      <c r="H7" s="50">
        <f t="shared" si="0"/>
        <v>36202</v>
      </c>
      <c r="J7" s="46"/>
    </row>
    <row r="8" spans="2:10" x14ac:dyDescent="0.25">
      <c r="B8" s="34">
        <v>5</v>
      </c>
      <c r="C8" s="84" t="s">
        <v>591</v>
      </c>
      <c r="D8" s="57" t="s">
        <v>592</v>
      </c>
      <c r="E8" s="22" t="s">
        <v>574</v>
      </c>
      <c r="F8" s="22">
        <v>2</v>
      </c>
      <c r="G8" s="50">
        <v>944.6</v>
      </c>
      <c r="H8" s="50">
        <f t="shared" si="0"/>
        <v>1889.2</v>
      </c>
      <c r="J8" s="46"/>
    </row>
    <row r="9" spans="2:10" x14ac:dyDescent="0.25">
      <c r="B9" s="34">
        <v>6</v>
      </c>
      <c r="C9" s="22"/>
      <c r="D9" s="57" t="s">
        <v>583</v>
      </c>
      <c r="E9" s="22" t="s">
        <v>157</v>
      </c>
      <c r="F9" s="22">
        <v>20</v>
      </c>
      <c r="G9" s="102">
        <v>139</v>
      </c>
      <c r="H9" s="50">
        <f t="shared" si="0"/>
        <v>2780</v>
      </c>
      <c r="J9" s="46"/>
    </row>
    <row r="10" spans="2:10" x14ac:dyDescent="0.25">
      <c r="B10" s="234" t="s">
        <v>74</v>
      </c>
      <c r="C10" s="450" t="s">
        <v>254</v>
      </c>
      <c r="D10" s="450"/>
      <c r="E10" s="450"/>
      <c r="F10" s="450"/>
      <c r="G10" s="450"/>
      <c r="H10" s="242">
        <f>SUM(H4:H9)</f>
        <v>1810313.8933543237</v>
      </c>
    </row>
    <row r="11" spans="2:10" x14ac:dyDescent="0.25">
      <c r="B11" s="41" t="s">
        <v>75</v>
      </c>
      <c r="C11" s="446" t="s">
        <v>255</v>
      </c>
      <c r="D11" s="446"/>
      <c r="E11" s="446"/>
      <c r="F11" s="52" t="s">
        <v>227</v>
      </c>
      <c r="G11" s="53">
        <v>0.03</v>
      </c>
      <c r="H11" s="237">
        <f t="shared" ref="H11:H16" si="1">G11*$H$10</f>
        <v>54309.416800629711</v>
      </c>
    </row>
    <row r="12" spans="2:10" x14ac:dyDescent="0.25">
      <c r="B12" s="41" t="s">
        <v>76</v>
      </c>
      <c r="C12" s="446" t="s">
        <v>256</v>
      </c>
      <c r="D12" s="446"/>
      <c r="E12" s="446"/>
      <c r="F12" s="52" t="s">
        <v>227</v>
      </c>
      <c r="G12" s="53">
        <v>0.03</v>
      </c>
      <c r="H12" s="237">
        <f t="shared" si="1"/>
        <v>54309.416800629711</v>
      </c>
    </row>
    <row r="13" spans="2:10" x14ac:dyDescent="0.25">
      <c r="B13" s="41" t="s">
        <v>77</v>
      </c>
      <c r="C13" s="446" t="s">
        <v>257</v>
      </c>
      <c r="D13" s="446"/>
      <c r="E13" s="446"/>
      <c r="F13" s="52" t="s">
        <v>227</v>
      </c>
      <c r="G13" s="53">
        <v>0.03</v>
      </c>
      <c r="H13" s="237">
        <f t="shared" si="1"/>
        <v>54309.416800629711</v>
      </c>
    </row>
    <row r="14" spans="2:10" x14ac:dyDescent="0.25">
      <c r="B14" s="41" t="s">
        <v>78</v>
      </c>
      <c r="C14" s="446" t="s">
        <v>258</v>
      </c>
      <c r="D14" s="446"/>
      <c r="E14" s="446"/>
      <c r="F14" s="52" t="s">
        <v>227</v>
      </c>
      <c r="G14" s="53">
        <v>0.04</v>
      </c>
      <c r="H14" s="237">
        <f t="shared" si="1"/>
        <v>72412.555734172944</v>
      </c>
    </row>
    <row r="15" spans="2:10" x14ac:dyDescent="0.25">
      <c r="B15" s="41" t="s">
        <v>213</v>
      </c>
      <c r="C15" s="446" t="s">
        <v>259</v>
      </c>
      <c r="D15" s="446"/>
      <c r="E15" s="446"/>
      <c r="F15" s="52" t="s">
        <v>227</v>
      </c>
      <c r="G15" s="53">
        <v>0.02</v>
      </c>
      <c r="H15" s="237">
        <f t="shared" si="1"/>
        <v>36206.277867086472</v>
      </c>
    </row>
    <row r="16" spans="2:10" x14ac:dyDescent="0.25">
      <c r="B16" s="41" t="s">
        <v>92</v>
      </c>
      <c r="C16" s="446" t="s">
        <v>260</v>
      </c>
      <c r="D16" s="446"/>
      <c r="E16" s="446"/>
      <c r="F16" s="52" t="s">
        <v>227</v>
      </c>
      <c r="G16" s="53">
        <v>0.1</v>
      </c>
      <c r="H16" s="237">
        <f t="shared" si="1"/>
        <v>181031.38933543238</v>
      </c>
    </row>
    <row r="17" spans="2:8" x14ac:dyDescent="0.25">
      <c r="B17" s="352" t="s">
        <v>93</v>
      </c>
      <c r="C17" s="451" t="s">
        <v>261</v>
      </c>
      <c r="D17" s="452"/>
      <c r="E17" s="453"/>
      <c r="F17" s="457" t="s">
        <v>144</v>
      </c>
      <c r="G17" s="458"/>
      <c r="H17" s="257">
        <f>'UG line labour'!AJ49</f>
        <v>432191.91797132167</v>
      </c>
    </row>
    <row r="18" spans="2:8" x14ac:dyDescent="0.25">
      <c r="B18" s="353"/>
      <c r="C18" s="454"/>
      <c r="D18" s="455"/>
      <c r="E18" s="456"/>
      <c r="F18" s="457" t="s">
        <v>145</v>
      </c>
      <c r="G18" s="458"/>
      <c r="H18" s="257">
        <f>'UG line labour'!AK49</f>
        <v>460991.91797132167</v>
      </c>
    </row>
    <row r="19" spans="2:8" x14ac:dyDescent="0.25">
      <c r="B19" s="331" t="s">
        <v>94</v>
      </c>
      <c r="C19" s="355" t="s">
        <v>262</v>
      </c>
      <c r="D19" s="355"/>
      <c r="E19" s="355"/>
      <c r="F19" s="446" t="s">
        <v>144</v>
      </c>
      <c r="G19" s="446"/>
      <c r="H19" s="258">
        <f>SUM(H10:H17)</f>
        <v>2695084.2846642267</v>
      </c>
    </row>
    <row r="20" spans="2:8" x14ac:dyDescent="0.25">
      <c r="B20" s="331"/>
      <c r="C20" s="355"/>
      <c r="D20" s="355"/>
      <c r="E20" s="355"/>
      <c r="F20" s="446" t="s">
        <v>145</v>
      </c>
      <c r="G20" s="446"/>
      <c r="H20" s="258">
        <f>SUM(H10:H16,H18)</f>
        <v>2723884.2846642267</v>
      </c>
    </row>
  </sheetData>
  <mergeCells count="16">
    <mergeCell ref="B19:B20"/>
    <mergeCell ref="C19:E20"/>
    <mergeCell ref="F19:G19"/>
    <mergeCell ref="F20:G20"/>
    <mergeCell ref="C15:E15"/>
    <mergeCell ref="C16:E16"/>
    <mergeCell ref="B17:B18"/>
    <mergeCell ref="C17:E18"/>
    <mergeCell ref="F17:G17"/>
    <mergeCell ref="F18:G18"/>
    <mergeCell ref="C14:E14"/>
    <mergeCell ref="D2:H2"/>
    <mergeCell ref="C10:G10"/>
    <mergeCell ref="C11:E11"/>
    <mergeCell ref="C12:E12"/>
    <mergeCell ref="C13:E13"/>
  </mergeCells>
  <pageMargins left="0.7" right="0.7" top="0.75" bottom="0.75" header="0.3" footer="0.3"/>
  <pageSetup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51</vt:i4>
      </vt:variant>
      <vt:variant>
        <vt:lpstr>Named Ranges</vt:lpstr>
      </vt:variant>
      <vt:variant>
        <vt:i4>61</vt:i4>
      </vt:variant>
    </vt:vector>
  </HeadingPairs>
  <TitlesOfParts>
    <vt:vector size="112" baseType="lpstr">
      <vt:lpstr>Labour cost Escalation Factor</vt:lpstr>
      <vt:lpstr>Individual Indexing Cal.</vt:lpstr>
      <vt:lpstr>Material List</vt:lpstr>
      <vt:lpstr>Unit Rate Summary Sheet</vt:lpstr>
      <vt:lpstr>33KV line labour</vt:lpstr>
      <vt:lpstr>11 KV line labour</vt:lpstr>
      <vt:lpstr>33-11 KV PSS labour</vt:lpstr>
      <vt:lpstr>DSS labour</vt:lpstr>
      <vt:lpstr>LT line labour</vt:lpstr>
      <vt:lpstr>AB Cable labour</vt:lpstr>
      <vt:lpstr>UG line labour</vt:lpstr>
      <vt:lpstr>33KV DP Suspension Labour</vt:lpstr>
      <vt:lpstr>PSS 2x5 MVA</vt:lpstr>
      <vt:lpstr>PSS 1x10 MVA</vt:lpstr>
      <vt:lpstr>1ph APL Service Connection</vt:lpstr>
      <vt:lpstr>3ph Service Connection</vt:lpstr>
      <vt:lpstr>33KV DP Suspension Line</vt:lpstr>
      <vt:lpstr>33KV_Panther_232</vt:lpstr>
      <vt:lpstr>33KV_Wolf_150</vt:lpstr>
      <vt:lpstr>33KV_Dog_100</vt:lpstr>
      <vt:lpstr>11KV_Dog_100sq</vt:lpstr>
      <vt:lpstr>11KV_Racoon_80sq</vt:lpstr>
      <vt:lpstr>11KV_Weasel_34sq</vt:lpstr>
      <vt:lpstr>DSS 25 KVA</vt:lpstr>
      <vt:lpstr>DSS 63 KVA</vt:lpstr>
      <vt:lpstr>DSS 100 KVA</vt:lpstr>
      <vt:lpstr>DSS 200 KVA</vt:lpstr>
      <vt:lpstr>DSS 315 KVA</vt:lpstr>
      <vt:lpstr>DSS 500 KVA</vt:lpstr>
      <vt:lpstr>LT_Weasel_34sq</vt:lpstr>
      <vt:lpstr>LT_Rabbit_55sq</vt:lpstr>
      <vt:lpstr>11KV 95sq mm OH AB</vt:lpstr>
      <vt:lpstr>11KV 50 sq mm OH AB</vt:lpstr>
      <vt:lpstr>LT 95sq mm OH AB</vt:lpstr>
      <vt:lpstr>LT 50sq mm OH AB</vt:lpstr>
      <vt:lpstr>33kv 400sq mm D</vt:lpstr>
      <vt:lpstr>33kv 300sq mm D</vt:lpstr>
      <vt:lpstr>33kv 185sq mm D</vt:lpstr>
      <vt:lpstr>11kv 400sq mm D</vt:lpstr>
      <vt:lpstr>11kv 300sq mm D</vt:lpstr>
      <vt:lpstr>11kv 185sq mm D</vt:lpstr>
      <vt:lpstr>33kv 400sq mm</vt:lpstr>
      <vt:lpstr>33kv 300sq mm</vt:lpstr>
      <vt:lpstr>33kv 185sq mm</vt:lpstr>
      <vt:lpstr>11kv 400sq mm</vt:lpstr>
      <vt:lpstr>11kv 300sq mm</vt:lpstr>
      <vt:lpstr>11kv 185sq mm</vt:lpstr>
      <vt:lpstr>33kv 300sq mm Trench</vt:lpstr>
      <vt:lpstr>33kv 185sq mm Trench</vt:lpstr>
      <vt:lpstr>11kv 300sq mm Trench</vt:lpstr>
      <vt:lpstr>11kv 185sq mm Trench</vt:lpstr>
      <vt:lpstr>'11 KV line labour'!Print_Area</vt:lpstr>
      <vt:lpstr>'11kv 185sq mm'!Print_Area</vt:lpstr>
      <vt:lpstr>'11kv 185sq mm D'!Print_Area</vt:lpstr>
      <vt:lpstr>'11kv 185sq mm Trench'!Print_Area</vt:lpstr>
      <vt:lpstr>'11kv 300sq mm'!Print_Area</vt:lpstr>
      <vt:lpstr>'11kv 300sq mm D'!Print_Area</vt:lpstr>
      <vt:lpstr>'11kv 300sq mm Trench'!Print_Area</vt:lpstr>
      <vt:lpstr>'11kv 400sq mm'!Print_Area</vt:lpstr>
      <vt:lpstr>'11kv 400sq mm D'!Print_Area</vt:lpstr>
      <vt:lpstr>'11KV 50 sq mm OH AB'!Print_Area</vt:lpstr>
      <vt:lpstr>'11KV 95sq mm OH AB'!Print_Area</vt:lpstr>
      <vt:lpstr>'11KV_Dog_100sq'!Print_Area</vt:lpstr>
      <vt:lpstr>'11KV_Racoon_80sq'!Print_Area</vt:lpstr>
      <vt:lpstr>'11KV_Weasel_34sq'!Print_Area</vt:lpstr>
      <vt:lpstr>'1ph APL Service Connection'!Print_Area</vt:lpstr>
      <vt:lpstr>'33-11 KV PSS labour'!Print_Area</vt:lpstr>
      <vt:lpstr>'33kv 185sq mm'!Print_Area</vt:lpstr>
      <vt:lpstr>'33kv 185sq mm D'!Print_Area</vt:lpstr>
      <vt:lpstr>'33kv 185sq mm Trench'!Print_Area</vt:lpstr>
      <vt:lpstr>'33kv 300sq mm'!Print_Area</vt:lpstr>
      <vt:lpstr>'33kv 300sq mm D'!Print_Area</vt:lpstr>
      <vt:lpstr>'33kv 300sq mm Trench'!Print_Area</vt:lpstr>
      <vt:lpstr>'33kv 400sq mm'!Print_Area</vt:lpstr>
      <vt:lpstr>'33kv 400sq mm D'!Print_Area</vt:lpstr>
      <vt:lpstr>'33KV DP Suspension Labour'!Print_Area</vt:lpstr>
      <vt:lpstr>'33KV DP Suspension Line'!Print_Area</vt:lpstr>
      <vt:lpstr>'33KV line labour'!Print_Area</vt:lpstr>
      <vt:lpstr>'33KV_Dog_100'!Print_Area</vt:lpstr>
      <vt:lpstr>'33KV_Panther_232'!Print_Area</vt:lpstr>
      <vt:lpstr>'33KV_Wolf_150'!Print_Area</vt:lpstr>
      <vt:lpstr>'3ph Service Connection'!Print_Area</vt:lpstr>
      <vt:lpstr>'AB Cable labour'!Print_Area</vt:lpstr>
      <vt:lpstr>'DSS 100 KVA'!Print_Area</vt:lpstr>
      <vt:lpstr>'DSS 200 KVA'!Print_Area</vt:lpstr>
      <vt:lpstr>'DSS 25 KVA'!Print_Area</vt:lpstr>
      <vt:lpstr>'DSS 315 KVA'!Print_Area</vt:lpstr>
      <vt:lpstr>'DSS 500 KVA'!Print_Area</vt:lpstr>
      <vt:lpstr>'DSS 63 KVA'!Print_Area</vt:lpstr>
      <vt:lpstr>'DSS labour'!Print_Area</vt:lpstr>
      <vt:lpstr>'Labour cost Escalation Factor'!Print_Area</vt:lpstr>
      <vt:lpstr>'LT 50sq mm OH AB'!Print_Area</vt:lpstr>
      <vt:lpstr>'LT 95sq mm OH AB'!Print_Area</vt:lpstr>
      <vt:lpstr>'LT line labour'!Print_Area</vt:lpstr>
      <vt:lpstr>LT_Rabbit_55sq!Print_Area</vt:lpstr>
      <vt:lpstr>LT_Weasel_34sq!Print_Area</vt:lpstr>
      <vt:lpstr>'Material List'!Print_Area</vt:lpstr>
      <vt:lpstr>'PSS 1x10 MVA'!Print_Area</vt:lpstr>
      <vt:lpstr>'PSS 2x5 MVA'!Print_Area</vt:lpstr>
      <vt:lpstr>'UG line labour'!Print_Area</vt:lpstr>
      <vt:lpstr>'Unit Rate Summary Sheet'!Print_Area</vt:lpstr>
      <vt:lpstr>'11 KV line labour'!Print_Titles</vt:lpstr>
      <vt:lpstr>'33-11 KV PSS labour'!Print_Titles</vt:lpstr>
      <vt:lpstr>'33KV DP Suspension Labour'!Print_Titles</vt:lpstr>
      <vt:lpstr>'33KV line labour'!Print_Titles</vt:lpstr>
      <vt:lpstr>'AB Cable labour'!Print_Titles</vt:lpstr>
      <vt:lpstr>'DSS labour'!Print_Titles</vt:lpstr>
      <vt:lpstr>'LT line labour'!Print_Titles</vt:lpstr>
      <vt:lpstr>'Material List'!Print_Titles</vt:lpstr>
      <vt:lpstr>'PSS 1x10 MVA'!Print_Titles</vt:lpstr>
      <vt:lpstr>'PSS 2x5 MVA'!Print_Titles</vt:lpstr>
      <vt:lpstr>'UG line labour'!Print_Titles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2017-04-11T07:16:23Z</dcterms:modified>
</cp:coreProperties>
</file>